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ga.mironova\PrivatData\Sügis_2026\ITX0010\Excel\"/>
    </mc:Choice>
  </mc:AlternateContent>
  <xr:revisionPtr revIDLastSave="0" documentId="13_ncr:1_{AF192F65-C537-4C1F-9FF1-DFA2DE107336}" xr6:coauthVersionLast="47" xr6:coauthVersionMax="47" xr10:uidLastSave="{00000000-0000-0000-0000-000000000000}"/>
  <bookViews>
    <workbookView xWindow="-110" yWindow="-110" windowWidth="19420" windowHeight="10300" xr2:uid="{D252EF88-2D49-4C52-AC99-B82583BA5F01}"/>
  </bookViews>
  <sheets>
    <sheet name="Tiitel" sheetId="9" r:id="rId1"/>
    <sheet name="Valideerimine" sheetId="2" r:id="rId2"/>
    <sheet name="Töötajad" sheetId="1" r:id="rId3"/>
    <sheet name="Hinded" sheetId="5" r:id="rId4"/>
    <sheet name="Statistika" sheetId="8" state="hidden" r:id="rId5"/>
    <sheet name="Andmebaas" sheetId="4" r:id="rId6"/>
    <sheet name="Vahemik" sheetId="6" r:id="rId7"/>
    <sheet name="Palgid" sheetId="7" r:id="rId8"/>
    <sheet name="Abi" sheetId="17" r:id="rId9"/>
    <sheet name="Otsifunktsioonid" sheetId="19" r:id="rId10"/>
    <sheet name="IND" sheetId="10" r:id="rId11"/>
    <sheet name="MAT" sheetId="11" r:id="rId12"/>
    <sheet name="IND_MAT_Vekt" sheetId="12" r:id="rId13"/>
    <sheet name="IND_MAT_TAB" sheetId="13" r:id="rId14"/>
    <sheet name="VLOOK" sheetId="14" r:id="rId15"/>
    <sheet name="XLOOK" sheetId="18" r:id="rId16"/>
    <sheet name="LOOK" sheetId="15" r:id="rId17"/>
  </sheets>
  <externalReferences>
    <externalReference r:id="rId18"/>
    <externalReference r:id="rId19"/>
  </externalReferences>
  <definedNames>
    <definedName name="_xlnm._FilterDatabase" localSheetId="2" hidden="1">Töötajad!$B$15:$G$103</definedName>
    <definedName name="A_kood">Andmebaas!$N$5:$N$7</definedName>
    <definedName name="Aasta" localSheetId="9">[1]IND_MAT_TAB!$H$7</definedName>
    <definedName name="Aasta">IND_MAT_TAB!$H$7</definedName>
    <definedName name="aastad" localSheetId="9">[1]IND_MAT_TAB!$C$6:$E$6</definedName>
    <definedName name="aastad">IND_MAT_TAB!$C$6:$E$6</definedName>
    <definedName name="Aine">Andmebaas!$A$5:$A$27</definedName>
    <definedName name="Aine_nimetus">Andmebaas!$D$5:$D$27</definedName>
    <definedName name="Amet">Töötajad!$F$16:$F$103</definedName>
    <definedName name="Amet_baas">Abi!$E$3:$E$10</definedName>
    <definedName name="andmebaas">Abi!$E$3:$F$10</definedName>
    <definedName name="andmed">Abi!$J$4:$K$9</definedName>
    <definedName name="d">Vahemik!$B$6:$B$16</definedName>
    <definedName name="Ees__ja_peremini" localSheetId="12">IND_MAT_Vekt!$B$6:$B$22</definedName>
    <definedName name="Ees__ja_peremini" localSheetId="16">LOOK!$B$6:$B$22</definedName>
    <definedName name="Ees__ja_peremini" localSheetId="9">[1]MAT!$C$6:$C$22</definedName>
    <definedName name="Ees__ja_peremini" localSheetId="14">VLOOK!$B$6:$B$22</definedName>
    <definedName name="Ees__ja_peremini" localSheetId="15">XLOOK!$B$6:$B$22</definedName>
    <definedName name="Ees__ja_peremini">MAT!$C$6:$C$22</definedName>
    <definedName name="elukohad" hidden="1">'[2]abi '!$C$7:$C$24</definedName>
    <definedName name="_xlnm.Extract" localSheetId="4">Statistika!$M$16</definedName>
    <definedName name="Hind">Palgid!$E$5:$E$21</definedName>
    <definedName name="hinnad">Abi!$K$4:$K$9</definedName>
    <definedName name="Hinne">Andmebaas!$C$5:$C$27</definedName>
    <definedName name="Hinne_I">Hinded!$L$2:$L$7</definedName>
    <definedName name="Hinne_II">Hinded!$O$2:$O$7</definedName>
    <definedName name="Inimene" localSheetId="13">IND_MAT_TAB!$G$7</definedName>
    <definedName name="Inimene" localSheetId="12">IND_MAT_Vekt!$E$6</definedName>
    <definedName name="Inimene" localSheetId="16">LOOK!$E$6</definedName>
    <definedName name="Inimene" localSheetId="9">[1]MAT!$E$6</definedName>
    <definedName name="Inimene" localSheetId="14">VLOOK!$E$6</definedName>
    <definedName name="Inimene" localSheetId="15">XLOOK!$E$6</definedName>
    <definedName name="Inimene">MAT!$E$6</definedName>
    <definedName name="inimesed" localSheetId="9">[1]IND_MAT_TAB!$B$7:$B$23</definedName>
    <definedName name="inimesed">IND_MAT_TAB!$B$7:$B$23</definedName>
    <definedName name="Jrk_nr">Hinded!$B$16:$B$30</definedName>
    <definedName name="Keskmine_hinne">Andmebaas!$K$5:$K$14</definedName>
    <definedName name="Kogus">Palgid!$F$5:$F$21</definedName>
    <definedName name="Koondhinne">Hinded!$N$16:$N$30</definedName>
    <definedName name="KT1_">Hinded!$D$16:$D$30</definedName>
    <definedName name="KT2_">Hinded!$E$16:$E$30</definedName>
    <definedName name="KT3_">Hinded!$F$16:$F$30</definedName>
    <definedName name="KT4_">Hinded!$G$16:$G$30</definedName>
    <definedName name="KT5_">Hinded!$H$16:$H$30</definedName>
    <definedName name="Kuu_nimetus" localSheetId="9">[1]IND!$C$6:$C$17</definedName>
    <definedName name="Kuu_nimetus">IND!$C$6:$C$17</definedName>
    <definedName name="Kuu_nr" localSheetId="9">[1]IND!$E$6</definedName>
    <definedName name="Kuu_nr">IND!$E$6</definedName>
    <definedName name="kvartiil">Töötajad!$M$37:$M$41</definedName>
    <definedName name="Liik" localSheetId="7">Palgid!$C$5:$C$21</definedName>
    <definedName name="Linn">Töötajad!$E$16:$E$103</definedName>
    <definedName name="Linnad" hidden="1">'[2]abi '!$E$7:$E$12</definedName>
    <definedName name="Läbimõõdud">Abi!$J$4:$J$9</definedName>
    <definedName name="Läbimõõt">Palgid!$D$5:$D$21</definedName>
    <definedName name="Läbimüük">Vahemik!$H$7:$H$11</definedName>
    <definedName name="Mitu_hinnet">Andmebaas!$J$5:$J$14</definedName>
    <definedName name="mõõdud">Abi!$O$7:$S$7</definedName>
    <definedName name="Nimetus">Andmebaas!$O$5:$O$7</definedName>
    <definedName name="Nimi" localSheetId="5">Andmebaas!$I$5:$I$14</definedName>
    <definedName name="Nimi" localSheetId="3">Hinded!$C$16:$C$30</definedName>
    <definedName name="Nimi" localSheetId="6">Vahemik!$G$7:$G$11</definedName>
    <definedName name="Nimi">Töötajad!$B$16:$B$103</definedName>
    <definedName name="Otsitav_palk" localSheetId="15">XLOOK!$F$6</definedName>
    <definedName name="Otsitav_palk">LOOK!$F$6</definedName>
    <definedName name="palgad" localSheetId="9">[1]IND_MAT_TAB!$C$7:$E$23</definedName>
    <definedName name="palgad">IND_MAT_TAB!$C$7:$E$23</definedName>
    <definedName name="Palk" localSheetId="16">LOOK!$C$6:$C$22</definedName>
    <definedName name="Palk" localSheetId="9">[1]IND_MAT_Vekt!$C$6:$C$22</definedName>
    <definedName name="Palk" localSheetId="2">Abi!$F$3:$F$10</definedName>
    <definedName name="Palk" localSheetId="14">VLOOK!$C$6:$C$22</definedName>
    <definedName name="Palk" localSheetId="15">XLOOK!$C$6:$C$22</definedName>
    <definedName name="Palk">IND_MAT_Vekt!$C$6:$C$22</definedName>
    <definedName name="palk_analyys">Töötajad!$J$16:$J$103</definedName>
    <definedName name="Prots">Abi!$G$15:$G$18</definedName>
    <definedName name="Protsent">Vahemik!$I$7:$I$11</definedName>
    <definedName name="Punktid_I">Hinded!$K$2:$K$7</definedName>
    <definedName name="Punktid_II">Hinded!$N$2:$N$7</definedName>
    <definedName name="puud">Abi!$N$8:$N$13</definedName>
    <definedName name="puuhinnad">Abi!$O$8:$S$13</definedName>
    <definedName name="Sugu">Töötajad!$D$16:$D$103</definedName>
    <definedName name="Summa" localSheetId="7">Palgid!$G$5:$G$21</definedName>
    <definedName name="Summa">Abi!$F$15:$F$18</definedName>
    <definedName name="Sünniaeg">Töötajad!$C$16:$C$103</definedName>
    <definedName name="Sünniaeg_noor">Töötajad!$M$19:$M$21</definedName>
    <definedName name="Sünniaeg_vana">Töötajad!$M$28:$M$30</definedName>
    <definedName name="süsteem">Hinded!$K$2:$L$7</definedName>
    <definedName name="tabel" localSheetId="9">[1]VLOOK!$B$6:$C$22</definedName>
    <definedName name="tabel">VLOOK!$B$6:$C$22</definedName>
    <definedName name="Valuutad">Abi!$B$3:$B$8</definedName>
    <definedName name="Õ_kood">Andmebaas!$H$5:$H$14</definedName>
    <definedName name="Õppur">Andmebaas!$B$5:$B$27</definedName>
    <definedName name="Õppuri_nimi">Andmebaas!$E$5:$E$27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4" l="1" a="1"/>
  <c r="J5" i="4" s="1"/>
  <c r="E23" i="7"/>
  <c r="E5" i="7" a="1"/>
  <c r="E5" i="7" s="1"/>
  <c r="G5" i="7" s="1" a="1"/>
  <c r="G5" i="7" s="1"/>
  <c r="G23" i="7" s="1"/>
  <c r="I7" i="6" a="1"/>
  <c r="I7" i="6" s="1"/>
  <c r="J7" i="6" s="1" a="1"/>
  <c r="J7" i="6" s="1"/>
  <c r="D6" i="6" a="1"/>
  <c r="D6" i="6" s="1"/>
  <c r="C6" i="6" a="1"/>
  <c r="C6" i="6" s="1"/>
  <c r="Q5" i="4" l="1" a="1"/>
  <c r="Q5" i="4" s="1"/>
  <c r="P5" i="4" a="1"/>
  <c r="P5" i="4" s="1"/>
  <c r="K5" i="4" a="1"/>
  <c r="K5" i="4" s="1"/>
  <c r="E5" i="4" a="1"/>
  <c r="E5" i="4" s="1"/>
  <c r="D5" i="4" a="1"/>
  <c r="D5" i="4" s="1"/>
  <c r="J16" i="1" a="1"/>
  <c r="J16" i="1" s="1"/>
  <c r="M16" i="5" l="1" a="1"/>
  <c r="M16" i="5" s="1"/>
  <c r="L16" i="5" a="1"/>
  <c r="L16" i="5" s="1"/>
  <c r="I16" i="5" a="1"/>
  <c r="I16" i="5" s="1"/>
  <c r="K16" i="5" a="1"/>
  <c r="K16" i="5" s="1"/>
  <c r="J16" i="5" a="1"/>
  <c r="J16" i="5" s="1"/>
  <c r="M28" i="1" a="1"/>
  <c r="M28" i="1" s="1"/>
  <c r="O28" i="1" s="1" a="1"/>
  <c r="O28" i="1" s="1"/>
  <c r="H16" i="1" a="1"/>
  <c r="H16" i="1" s="1"/>
  <c r="F6" i="18"/>
  <c r="F6" i="15"/>
  <c r="F6" i="14"/>
  <c r="I7" i="13"/>
  <c r="F6" i="12"/>
  <c r="F6" i="11"/>
  <c r="F6" i="10" a="1"/>
  <c r="F6" i="10" s="1"/>
  <c r="M34" i="1"/>
  <c r="M19" i="1" a="1"/>
  <c r="M19" i="1" s="1"/>
  <c r="O19" i="1" s="1" a="1"/>
  <c r="O19" i="1" s="1"/>
  <c r="I16" i="1" a="1"/>
  <c r="I16" i="1" s="1"/>
  <c r="G16" i="1" a="1"/>
  <c r="G16" i="1" s="1"/>
  <c r="N17" i="5" l="1"/>
  <c r="N25" i="5"/>
  <c r="N18" i="5"/>
  <c r="N26" i="5"/>
  <c r="N24" i="5"/>
  <c r="N19" i="5"/>
  <c r="N27" i="5"/>
  <c r="N20" i="5"/>
  <c r="N28" i="5"/>
  <c r="N21" i="5"/>
  <c r="N29" i="5"/>
  <c r="N22" i="5"/>
  <c r="N30" i="5"/>
  <c r="N23" i="5"/>
  <c r="S11" i="5"/>
  <c r="N16" i="5"/>
  <c r="M35" i="1"/>
  <c r="M41" i="1"/>
  <c r="Q41" i="1" s="1"/>
  <c r="N19" i="1" a="1"/>
  <c r="N19" i="1" s="1"/>
  <c r="M40" i="1"/>
  <c r="Q40" i="1" s="1"/>
  <c r="M39" i="1"/>
  <c r="Q39" i="1" s="1"/>
  <c r="M37" i="1"/>
  <c r="Q37" i="1" s="1"/>
  <c r="N28" i="1" a="1"/>
  <c r="N28" i="1" s="1"/>
  <c r="M38" i="1"/>
  <c r="Q38" i="1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N39" i="1"/>
  <c r="N25" i="1"/>
  <c r="M16" i="1"/>
  <c r="N35" i="1"/>
  <c r="N37" i="1"/>
  <c r="O25" i="1"/>
  <c r="N38" i="1"/>
  <c r="N16" i="1"/>
  <c r="G13" i="1"/>
  <c r="O16" i="1"/>
  <c r="H13" i="1"/>
  <c r="M25" i="1"/>
  <c r="N34" i="1"/>
  <c r="I13" i="1"/>
  <c r="N10" i="5" l="1"/>
  <c r="N11" i="5" a="1"/>
  <c r="N11" i="5" s="1"/>
  <c r="N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Jüri Vilipõld</author>
  </authors>
  <commentList>
    <comment ref="B4" authorId="0" shapeId="0" xr:uid="{F24347B9-8A01-4236-9668-32D4BF62101A}">
      <text>
        <r>
          <rPr>
            <sz val="10"/>
            <color indexed="81"/>
            <rFont val="Tahoma"/>
            <family val="2"/>
          </rPr>
          <t>Leida puidu hind läbimõõdu järgi (vt leht Abi)</t>
        </r>
      </text>
    </comment>
    <comment ref="G5" authorId="0" shapeId="0" xr:uid="{EE1F0BD6-E8E4-46D7-9DA5-6440C1679E0C}">
      <text>
        <r>
          <rPr>
            <sz val="10"/>
            <color indexed="81"/>
            <rFont val="Tahoma"/>
            <family val="2"/>
          </rPr>
          <t xml:space="preserve">Komisjonitasu protsent sõltub läbimüügist järgmiselt:
  kuni 650        -    3%
  650 - 1600     -   7%
  1600 - 2550   -   10%
  alates 2550    -    13%   
  Koostada vastav otsimistabel (lehele Abi) ning täita veerud protsent ja tasu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Jüri Vilipõld</author>
  </authors>
  <commentList>
    <comment ref="B2" authorId="0" shapeId="0" xr:uid="{4C1A56F5-32A8-412D-8870-141F8A14E5C8}">
      <text>
        <r>
          <rPr>
            <sz val="10"/>
            <color indexed="81"/>
            <rFont val="Tahoma"/>
            <family val="2"/>
          </rPr>
          <t>Leida tabelis puidu hinnad vastavalt liigile ja läbimõõdule, kasutades  hindade tabelit lehel Abi. Leida Summa ja Kokku.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<sst xmlns="http://schemas.openxmlformats.org/spreadsheetml/2006/main" count="800" uniqueCount="328">
  <si>
    <t>Hinded</t>
  </si>
  <si>
    <t>Õppurid</t>
  </si>
  <si>
    <t>Ained</t>
  </si>
  <si>
    <t>Aine</t>
  </si>
  <si>
    <t>Õppur</t>
  </si>
  <si>
    <t>Hinne</t>
  </si>
  <si>
    <t>Aine nimetus</t>
  </si>
  <si>
    <t>Õppuri nimi</t>
  </si>
  <si>
    <t>Õ_kood</t>
  </si>
  <si>
    <t>Nimi</t>
  </si>
  <si>
    <t>Mitu hinnet</t>
  </si>
  <si>
    <t>Keskmine hinne</t>
  </si>
  <si>
    <t>A_kood</t>
  </si>
  <si>
    <t>Nimetus</t>
  </si>
  <si>
    <t>a01</t>
  </si>
  <si>
    <t>op04</t>
  </si>
  <si>
    <t>op01</t>
  </si>
  <si>
    <t>Karl Karu</t>
  </si>
  <si>
    <t>matemaatika</t>
  </si>
  <si>
    <t>a03</t>
  </si>
  <si>
    <t>op02</t>
  </si>
  <si>
    <t>Mia Tamm</t>
  </si>
  <si>
    <t>a02</t>
  </si>
  <si>
    <t>eesti keel</t>
  </si>
  <si>
    <t>op03</t>
  </si>
  <si>
    <t>Tanel Lepp</t>
  </si>
  <si>
    <t>inglise keel</t>
  </si>
  <si>
    <t>op07</t>
  </si>
  <si>
    <t>Piia Kass</t>
  </si>
  <si>
    <t>op09</t>
  </si>
  <si>
    <t>op05</t>
  </si>
  <si>
    <t>Ester Rebane</t>
  </si>
  <si>
    <t>op08</t>
  </si>
  <si>
    <t>op06</t>
  </si>
  <si>
    <t>Kaspar Lauk</t>
  </si>
  <si>
    <t>Kerly Rand</t>
  </si>
  <si>
    <t>Tanel Kastan</t>
  </si>
  <si>
    <t>Tiina Laev</t>
  </si>
  <si>
    <t>op10</t>
  </si>
  <si>
    <t>Priit Liigand</t>
  </si>
  <si>
    <t>Sugu</t>
  </si>
  <si>
    <t>Palk</t>
  </si>
  <si>
    <t>Amet</t>
  </si>
  <si>
    <t>Linn</t>
  </si>
  <si>
    <t>Mirja Bergmann</t>
  </si>
  <si>
    <t>naine</t>
  </si>
  <si>
    <t>koristaja</t>
  </si>
  <si>
    <t>Tartu</t>
  </si>
  <si>
    <t>Tiina Rajamäe</t>
  </si>
  <si>
    <t>autojuht</t>
  </si>
  <si>
    <t>Viljandi</t>
  </si>
  <si>
    <t>Kristjan Mägi</t>
  </si>
  <si>
    <t>mees</t>
  </si>
  <si>
    <t>tööline</t>
  </si>
  <si>
    <t>Pärnu</t>
  </si>
  <si>
    <t>Kaivo Mets</t>
  </si>
  <si>
    <t>Aadu Pulk</t>
  </si>
  <si>
    <t>turvatöötaja</t>
  </si>
  <si>
    <t>Jõhvi</t>
  </si>
  <si>
    <t>Riho Kuusk</t>
  </si>
  <si>
    <t>Olav Berk</t>
  </si>
  <si>
    <t>Kunda</t>
  </si>
  <si>
    <t>Karl Agur</t>
  </si>
  <si>
    <t>Tallinn</t>
  </si>
  <si>
    <t>Paul Naaber</t>
  </si>
  <si>
    <t>Juulia Tubin</t>
  </si>
  <si>
    <t>sekretär</t>
  </si>
  <si>
    <t>Kallaste</t>
  </si>
  <si>
    <t>Eino Luige</t>
  </si>
  <si>
    <t>Rakvere</t>
  </si>
  <si>
    <t>Erna Eek</t>
  </si>
  <si>
    <t>Paide</t>
  </si>
  <si>
    <t>Priit Burmeister</t>
  </si>
  <si>
    <t>Jõgeva</t>
  </si>
  <si>
    <t>Mare Eesmaa</t>
  </si>
  <si>
    <t>juhataja</t>
  </si>
  <si>
    <t>Hendrik Kanter</t>
  </si>
  <si>
    <t>Jaan Kaasik</t>
  </si>
  <si>
    <t>Erki Ainsaar</t>
  </si>
  <si>
    <t>lukksepp</t>
  </si>
  <si>
    <t>Haapsalu</t>
  </si>
  <si>
    <t>Marko Erikson</t>
  </si>
  <si>
    <t>raamatupidaja</t>
  </si>
  <si>
    <t>Kristel Astok</t>
  </si>
  <si>
    <t>Andrus Koort</t>
  </si>
  <si>
    <t>Valga</t>
  </si>
  <si>
    <t>Madis Paulus</t>
  </si>
  <si>
    <t>Ando Nõmmik</t>
  </si>
  <si>
    <t>Sirje Kreen</t>
  </si>
  <si>
    <t>Meelis Kalju</t>
  </si>
  <si>
    <t>Tarmo Müller</t>
  </si>
  <si>
    <t>Meelis Petrov</t>
  </si>
  <si>
    <t>Reijo Muld</t>
  </si>
  <si>
    <t>Elvi Berk</t>
  </si>
  <si>
    <t>Faina Lepp</t>
  </si>
  <si>
    <t>Aadu Heinlo</t>
  </si>
  <si>
    <t>Kuressaare</t>
  </si>
  <si>
    <t>Evelin Põld</t>
  </si>
  <si>
    <t>Madis Maasalu</t>
  </si>
  <si>
    <t>Argo Salu</t>
  </si>
  <si>
    <t>Aarne Norak</t>
  </si>
  <si>
    <t>Kristjan Jürimäe</t>
  </si>
  <si>
    <t>Arnold Norak</t>
  </si>
  <si>
    <t>Erika Kasemets</t>
  </si>
  <si>
    <t>Helen Aigro</t>
  </si>
  <si>
    <t>Erki Arsenov</t>
  </si>
  <si>
    <t>Aare Marmor</t>
  </si>
  <si>
    <t>Einar Ehala</t>
  </si>
  <si>
    <t>Katy Veesimaa</t>
  </si>
  <si>
    <t>Reijo Meigas</t>
  </si>
  <si>
    <t>Hilja Raid</t>
  </si>
  <si>
    <t>Aare Raudsepp</t>
  </si>
  <si>
    <t>Eevald Parts</t>
  </si>
  <si>
    <t>Tiina Toomsalu</t>
  </si>
  <si>
    <t>Anton Meister</t>
  </si>
  <si>
    <t>Ahto Danilov</t>
  </si>
  <si>
    <t>Tiina Markus</t>
  </si>
  <si>
    <t>Kustav Salu</t>
  </si>
  <si>
    <t>Margus Roosimägi</t>
  </si>
  <si>
    <t>Evi Sarapik</t>
  </si>
  <si>
    <t>Erno Salumets</t>
  </si>
  <si>
    <t>Malle Kivioja</t>
  </si>
  <si>
    <t>Reijo Bauman</t>
  </si>
  <si>
    <t>Aadu Elson</t>
  </si>
  <si>
    <t>Jana Kaal</t>
  </si>
  <si>
    <t>Hanno Pajusaar</t>
  </si>
  <si>
    <t>Hanno Pedak</t>
  </si>
  <si>
    <t>Valve Mäesalu</t>
  </si>
  <si>
    <t>Leida Jaanus</t>
  </si>
  <si>
    <t>Aarne Oks</t>
  </si>
  <si>
    <t>Laine Eek</t>
  </si>
  <si>
    <t>Maarja Ambros</t>
  </si>
  <si>
    <t>Aasa Randla</t>
  </si>
  <si>
    <t>Ene Elmik</t>
  </si>
  <si>
    <t>Malle Põldmaa</t>
  </si>
  <si>
    <t>Vilma Eesmaa</t>
  </si>
  <si>
    <t>Ene Burmeister</t>
  </si>
  <si>
    <t>Jaan Noormets</t>
  </si>
  <si>
    <t>Reijo Okspuu</t>
  </si>
  <si>
    <t>Aigi Härm</t>
  </si>
  <si>
    <t>Jaan Laubre</t>
  </si>
  <si>
    <t>Boris Küünemäe</t>
  </si>
  <si>
    <t>Sirje Härm</t>
  </si>
  <si>
    <t>Raivo Lokk</t>
  </si>
  <si>
    <t>Reijo Müürsepp</t>
  </si>
  <si>
    <t>Faina Kukk</t>
  </si>
  <si>
    <t>Aarne Mikson</t>
  </si>
  <si>
    <t>Arvi Väljas</t>
  </si>
  <si>
    <t>Selma Parre</t>
  </si>
  <si>
    <t>Arnold Merilaid</t>
  </si>
  <si>
    <t>Kaivo Berk</t>
  </si>
  <si>
    <t>Margus Maasalu</t>
  </si>
  <si>
    <t>Ahti Tubin</t>
  </si>
  <si>
    <t>Malle Ligi</t>
  </si>
  <si>
    <t>Aadu Malva</t>
  </si>
  <si>
    <t>Sünniaeg</t>
  </si>
  <si>
    <t>Kõige nooremad</t>
  </si>
  <si>
    <t>Kõige vanemad</t>
  </si>
  <si>
    <t>Arve nr</t>
  </si>
  <si>
    <t>Arve summa</t>
  </si>
  <si>
    <t>Arve kuupäev</t>
  </si>
  <si>
    <t>Valuutad</t>
  </si>
  <si>
    <t>SEK</t>
  </si>
  <si>
    <t>GBP</t>
  </si>
  <si>
    <t>NOK</t>
  </si>
  <si>
    <t>RUB</t>
  </si>
  <si>
    <t>EUR</t>
  </si>
  <si>
    <t>Valuuta</t>
  </si>
  <si>
    <t>Reegel</t>
  </si>
  <si>
    <t>Sisendteade</t>
  </si>
  <si>
    <t>Veateade</t>
  </si>
  <si>
    <t>Väärtus</t>
  </si>
  <si>
    <t>Paaritu arv</t>
  </si>
  <si>
    <t>Täisarv, mis ei jagu täpselt 2-ga</t>
  </si>
  <si>
    <t>kuupäev, tänasest kuni 30 päeva edasi</t>
  </si>
  <si>
    <t>Alates tänasest kuni 30 päeva</t>
  </si>
  <si>
    <t>Ainult paaritu arv</t>
  </si>
  <si>
    <t>Pühapäev</t>
  </si>
  <si>
    <t>Kuupäev, mille nädalapäev on pühapäev</t>
  </si>
  <si>
    <t>Ainult pühapäevad</t>
  </si>
  <si>
    <t>Stopp: See pole paaritu arv</t>
  </si>
  <si>
    <t>Info: Pole sobiv kuupäev</t>
  </si>
  <si>
    <t>Hoiatus: Peaks olema pühapäev</t>
  </si>
  <si>
    <t>Positiivne täisarv</t>
  </si>
  <si>
    <t>Positiivne reaalarv</t>
  </si>
  <si>
    <t>Hinnakiri</t>
  </si>
  <si>
    <t>Puidu müükide arvestus</t>
  </si>
  <si>
    <t>Läbimõõt</t>
  </si>
  <si>
    <t>Läbimõõdud</t>
  </si>
  <si>
    <t>hinnad</t>
  </si>
  <si>
    <t>d</t>
  </si>
  <si>
    <t>Hind</t>
  </si>
  <si>
    <t>Komisjonitasu leidmine</t>
  </si>
  <si>
    <t>5 - 9</t>
  </si>
  <si>
    <t>Läbimüük</t>
  </si>
  <si>
    <t>Protsent</t>
  </si>
  <si>
    <t>Tasu</t>
  </si>
  <si>
    <t>10 - 14</t>
  </si>
  <si>
    <t>Kaasik</t>
  </si>
  <si>
    <t>15 - 19</t>
  </si>
  <si>
    <t>Kuusik</t>
  </si>
  <si>
    <t>20 - 24</t>
  </si>
  <si>
    <t>Tammik</t>
  </si>
  <si>
    <t>25 - 29</t>
  </si>
  <si>
    <t>Lepik</t>
  </si>
  <si>
    <t>30 ja &gt;</t>
  </si>
  <si>
    <t>Männik</t>
  </si>
  <si>
    <t>Index ja Match</t>
  </si>
  <si>
    <t>Vlookup</t>
  </si>
  <si>
    <t>Puidu hinnakiri</t>
  </si>
  <si>
    <t>Kuupäev</t>
  </si>
  <si>
    <t>Liik</t>
  </si>
  <si>
    <t>Kogus</t>
  </si>
  <si>
    <t>Summa</t>
  </si>
  <si>
    <t>saar</t>
  </si>
  <si>
    <t>Mõõdud</t>
  </si>
  <si>
    <t>kask</t>
  </si>
  <si>
    <t>kuusk</t>
  </si>
  <si>
    <t>Puu_liik</t>
  </si>
  <si>
    <t>mänd</t>
  </si>
  <si>
    <t>haab</t>
  </si>
  <si>
    <t>tamm</t>
  </si>
  <si>
    <t>Kokku:</t>
  </si>
  <si>
    <t>Puidu müük</t>
  </si>
  <si>
    <t>Mitu</t>
  </si>
  <si>
    <t>Suurim palk</t>
  </si>
  <si>
    <t>Palkade summa</t>
  </si>
  <si>
    <t>aritm. kesk.</t>
  </si>
  <si>
    <t>mediaan</t>
  </si>
  <si>
    <t>kvartiilid:</t>
  </si>
  <si>
    <t>3. nädal: Valideerimine, viitamisfunktsioonid (otsifunktsioonid), ka statistikast</t>
  </si>
  <si>
    <r>
      <t>Funktsioon INDEX(</t>
    </r>
    <r>
      <rPr>
        <i/>
        <sz val="14"/>
        <color rgb="FF0000FF"/>
        <rFont val="Arial"/>
        <family val="2"/>
        <charset val="204"/>
      </rPr>
      <t>piirkond</t>
    </r>
    <r>
      <rPr>
        <sz val="14"/>
        <color rgb="FF0000FF"/>
        <rFont val="Arial"/>
        <family val="2"/>
        <charset val="204"/>
      </rPr>
      <t xml:space="preserve">; </t>
    </r>
    <r>
      <rPr>
        <i/>
        <sz val="14"/>
        <color rgb="FF0000FF"/>
        <rFont val="Arial"/>
        <family val="2"/>
        <charset val="204"/>
      </rPr>
      <t>riviindeks</t>
    </r>
    <r>
      <rPr>
        <sz val="14"/>
        <color rgb="FF0000FF"/>
        <rFont val="Arial"/>
        <family val="2"/>
        <charset val="204"/>
      </rPr>
      <t xml:space="preserve">; </t>
    </r>
    <r>
      <rPr>
        <i/>
        <sz val="14"/>
        <color rgb="FF0000FF"/>
        <rFont val="Arial"/>
        <family val="2"/>
        <charset val="204"/>
      </rPr>
      <t>tulbaindeks</t>
    </r>
    <r>
      <rPr>
        <sz val="14"/>
        <color rgb="FF0000FF"/>
        <rFont val="Arial"/>
        <family val="2"/>
        <charset val="204"/>
      </rPr>
      <t>)</t>
    </r>
  </si>
  <si>
    <t>Index() funktsiooni abil leida kuu nimetus</t>
  </si>
  <si>
    <t>Kuu number</t>
  </si>
  <si>
    <t>Kuu nimetus</t>
  </si>
  <si>
    <t>Kuu nr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</si>
  <si>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</si>
  <si>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</si>
  <si>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</si>
  <si>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</si>
  <si>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</si>
  <si>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</si>
  <si>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</si>
  <si>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</si>
  <si>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</si>
  <si>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</si>
  <si>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</si>
  <si>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</si>
  <si>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r>
      <t>Funktsioon MATCH(</t>
    </r>
    <r>
      <rPr>
        <i/>
        <sz val="14"/>
        <color indexed="12"/>
        <rFont val="Arial"/>
        <family val="2"/>
        <charset val="204"/>
      </rPr>
      <t>otsitav</t>
    </r>
    <r>
      <rPr>
        <sz val="14"/>
        <color indexed="12"/>
        <rFont val="Arial"/>
        <family val="2"/>
        <charset val="204"/>
      </rPr>
      <t xml:space="preserve">; </t>
    </r>
    <r>
      <rPr>
        <i/>
        <sz val="14"/>
        <color indexed="12"/>
        <rFont val="Arial"/>
        <family val="2"/>
        <charset val="204"/>
      </rPr>
      <t>vektor</t>
    </r>
    <r>
      <rPr>
        <sz val="14"/>
        <color indexed="12"/>
        <rFont val="Arial"/>
        <family val="2"/>
        <charset val="204"/>
      </rPr>
      <t xml:space="preserve">; </t>
    </r>
    <r>
      <rPr>
        <i/>
        <sz val="14"/>
        <color indexed="12"/>
        <rFont val="Arial"/>
        <family val="2"/>
        <charset val="204"/>
      </rPr>
      <t>otsimisviis</t>
    </r>
    <r>
      <rPr>
        <sz val="14"/>
        <color indexed="12"/>
        <rFont val="Arial"/>
        <family val="2"/>
        <charset val="204"/>
      </rPr>
      <t>)</t>
    </r>
  </si>
  <si>
    <t>Match() funktsiooni abil leida inimese järjekorranumber tabelis</t>
  </si>
  <si>
    <t>Nr</t>
  </si>
  <si>
    <t>Ees- ja peremini</t>
  </si>
  <si>
    <t>Inimene</t>
  </si>
  <si>
    <t>Number</t>
  </si>
  <si>
    <t>Alan Pent</t>
  </si>
  <si>
    <t>Mart Metsjõe</t>
  </si>
  <si>
    <t>Anton Smirnov</t>
  </si>
  <si>
    <t>Rasmus Pruul</t>
  </si>
  <si>
    <t>Ivo Värk</t>
  </si>
  <si>
    <t>Aivar Jakobson</t>
  </si>
  <si>
    <t>Aivar Teearu</t>
  </si>
  <si>
    <t>Mart Kivi</t>
  </si>
  <si>
    <t>Dmitri Käsper</t>
  </si>
  <si>
    <t>Tiina Amos</t>
  </si>
  <si>
    <t>Alari Kaljo</t>
  </si>
  <si>
    <t>Tiiu Tamm</t>
  </si>
  <si>
    <t xml:space="preserve">Janari Kaljo </t>
  </si>
  <si>
    <t>Sander Soosaar</t>
  </si>
  <si>
    <t>Annika Männik</t>
  </si>
  <si>
    <t>Andrei Kedrov</t>
  </si>
  <si>
    <t>Kert Jürgenson</t>
  </si>
  <si>
    <t>Leida inimese palk</t>
  </si>
  <si>
    <t>Otsitav palk</t>
  </si>
  <si>
    <t>Aasta</t>
  </si>
  <si>
    <t>Leida inimese palk funktsiooni VLOOKUP() abil</t>
  </si>
  <si>
    <r>
      <t>Funktsioon LOOKUP(</t>
    </r>
    <r>
      <rPr>
        <b/>
        <i/>
        <sz val="14"/>
        <color indexed="12"/>
        <rFont val="Arial"/>
        <family val="2"/>
        <charset val="186"/>
      </rPr>
      <t>otsitav</t>
    </r>
    <r>
      <rPr>
        <b/>
        <sz val="14"/>
        <color indexed="12"/>
        <rFont val="Arial"/>
        <family val="2"/>
        <charset val="186"/>
      </rPr>
      <t xml:space="preserve">; </t>
    </r>
    <r>
      <rPr>
        <b/>
        <i/>
        <sz val="14"/>
        <color indexed="12"/>
        <rFont val="Arial"/>
        <family val="2"/>
        <charset val="186"/>
      </rPr>
      <t>vektor1</t>
    </r>
    <r>
      <rPr>
        <b/>
        <sz val="14"/>
        <color indexed="12"/>
        <rFont val="Arial"/>
        <family val="2"/>
        <charset val="186"/>
      </rPr>
      <t xml:space="preserve">; </t>
    </r>
    <r>
      <rPr>
        <b/>
        <i/>
        <sz val="14"/>
        <color indexed="12"/>
        <rFont val="Arial"/>
        <family val="2"/>
        <charset val="186"/>
      </rPr>
      <t>vektor2</t>
    </r>
    <r>
      <rPr>
        <b/>
        <sz val="14"/>
        <color indexed="12"/>
        <rFont val="Arial"/>
        <family val="2"/>
        <charset val="186"/>
      </rPr>
      <t>)</t>
    </r>
  </si>
  <si>
    <t>Leida inimese palk funktsiooni LOOKUP() abil</t>
  </si>
  <si>
    <t>Väärtus valuutade loendist (leht Abi)</t>
  </si>
  <si>
    <t>Amet_baas</t>
  </si>
  <si>
    <r>
      <t>Funktsioon XLOOKUP(</t>
    </r>
    <r>
      <rPr>
        <i/>
        <sz val="14"/>
        <color rgb="FF0000FF"/>
        <rFont val="Arial"/>
        <family val="2"/>
        <charset val="186"/>
      </rPr>
      <t>otsitav; otsitav_piirkond; tagastatav_piirkond; [kui_ei_leita]; [vaste_tüüp]; [otsimisviis]</t>
    </r>
    <r>
      <rPr>
        <sz val="14"/>
        <color indexed="12"/>
        <rFont val="Arial"/>
        <family val="2"/>
        <charset val="204"/>
      </rPr>
      <t>)</t>
    </r>
  </si>
  <si>
    <r>
      <t>Funktsioon VLOOKUP(</t>
    </r>
    <r>
      <rPr>
        <i/>
        <sz val="14"/>
        <color rgb="FF0000FF"/>
        <rFont val="Arial"/>
        <family val="2"/>
        <charset val="186"/>
      </rPr>
      <t xml:space="preserve">otsitav; piirkond; tulp; [ otsimisviis ] </t>
    </r>
    <r>
      <rPr>
        <sz val="14"/>
        <color indexed="12"/>
        <rFont val="Arial"/>
        <family val="2"/>
        <charset val="204"/>
      </rPr>
      <t>)</t>
    </r>
  </si>
  <si>
    <t>Palk_2020</t>
  </si>
  <si>
    <t>Palk_2021</t>
  </si>
  <si>
    <t>Palk_2022</t>
  </si>
  <si>
    <t>SORT!!!</t>
  </si>
  <si>
    <t>Sünniaeg_noor</t>
  </si>
  <si>
    <t>Sünniaeg_vana</t>
  </si>
  <si>
    <t>Mitu on suurem?</t>
  </si>
  <si>
    <t>Jrk nr</t>
  </si>
  <si>
    <t>Tudeng1</t>
  </si>
  <si>
    <t>Tudeng2</t>
  </si>
  <si>
    <t>Tudeng3</t>
  </si>
  <si>
    <t>Tudeng4</t>
  </si>
  <si>
    <t>Tudeng5</t>
  </si>
  <si>
    <t>Tudeng6</t>
  </si>
  <si>
    <t>Tudeng7</t>
  </si>
  <si>
    <t>Tudeng8</t>
  </si>
  <si>
    <t>Tudeng9</t>
  </si>
  <si>
    <t>Tudeng10</t>
  </si>
  <si>
    <t>Tudeng11</t>
  </si>
  <si>
    <t>Tudeng12</t>
  </si>
  <si>
    <t>Tudeng13</t>
  </si>
  <si>
    <t>Tudeng14</t>
  </si>
  <si>
    <t>Tudeng15</t>
  </si>
  <si>
    <t>KT1</t>
  </si>
  <si>
    <t>KT2</t>
  </si>
  <si>
    <t>KT3</t>
  </si>
  <si>
    <t>KT4</t>
  </si>
  <si>
    <t>KT5</t>
  </si>
  <si>
    <t>Hinne1</t>
  </si>
  <si>
    <t>Hinne2</t>
  </si>
  <si>
    <t>Hinne3</t>
  </si>
  <si>
    <t>Hinne4</t>
  </si>
  <si>
    <t>Hinne5</t>
  </si>
  <si>
    <t>Koondhinne</t>
  </si>
  <si>
    <t>Punktid_I</t>
  </si>
  <si>
    <t>Hinne_I</t>
  </si>
  <si>
    <t>Punktid_II</t>
  </si>
  <si>
    <t>Hinne_II</t>
  </si>
  <si>
    <t>keskmine</t>
  </si>
  <si>
    <t>sagedaim hinne</t>
  </si>
  <si>
    <t>kuni 650        -    3%</t>
  </si>
  <si>
    <t xml:space="preserve">  650 - 1600     -   7%</t>
  </si>
  <si>
    <t xml:space="preserve">  1600 - 2550   -   10%</t>
  </si>
  <si>
    <t xml:space="preserve">  alates 2550    -    13% </t>
  </si>
  <si>
    <t>Prots</t>
  </si>
  <si>
    <t>Abimaterjal</t>
  </si>
  <si>
    <t>Leida inimese palk funktsiooni XLOOKUP() 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</si>
</sst>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0.0"/>
    <numFmt numFmtId="166" formatCode="#,##0\ &quot;€&quot;"/>
  </numFmts>
  <fonts count="29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charset val="186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1"/>
      <name val="Tahoma"/>
      <family val="2"/>
    </font>
    <font>
      <b/>
      <sz val="12"/>
      <color indexed="12"/>
      <name val="Arial"/>
      <family val="2"/>
    </font>
    <font>
      <u/>
      <sz val="12"/>
      <color indexed="12"/>
      <name val="Arial"/>
      <family val="2"/>
      <charset val="186"/>
    </font>
    <font>
      <b/>
      <u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20"/>
      <color theme="1"/>
      <name val="Aptos Narrow"/>
      <family val="2"/>
      <charset val="186"/>
      <scheme val="minor"/>
    </font>
    <font>
      <sz val="14"/>
      <color rgb="FF0000FF"/>
      <name val="Arial"/>
      <family val="2"/>
      <charset val="204"/>
    </font>
    <font>
      <i/>
      <sz val="14"/>
      <color rgb="FF0000FF"/>
      <name val="Arial"/>
      <family val="2"/>
      <charset val="204"/>
    </font>
    <font>
      <sz val="12"/>
      <name val="Arial"/>
      <family val="2"/>
      <charset val="204"/>
    </font>
    <font>
      <b/>
      <sz val="16"/>
      <color rgb="FF0000FF"/>
      <name val="Arial"/>
      <family val="2"/>
      <charset val="186"/>
    </font>
    <font>
      <sz val="11"/>
      <name val="Arial"/>
      <family val="2"/>
      <charset val="186"/>
    </font>
    <font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6"/>
      <color indexed="12"/>
      <name val="Arial"/>
      <family val="2"/>
      <charset val="186"/>
    </font>
    <font>
      <b/>
      <sz val="14"/>
      <color indexed="12"/>
      <name val="Arial"/>
      <family val="2"/>
      <charset val="186"/>
    </font>
    <font>
      <b/>
      <i/>
      <sz val="14"/>
      <color indexed="12"/>
      <name val="Arial"/>
      <family val="2"/>
      <charset val="186"/>
    </font>
    <font>
      <sz val="14"/>
      <name val="Arial"/>
      <family val="2"/>
      <charset val="186"/>
    </font>
    <font>
      <i/>
      <sz val="14"/>
      <color rgb="FF0000FF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8"/>
      <name val="Aptos Narrow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102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1" xfId="1" applyBorder="1" applyAlignment="1">
      <alignment horizontal="center"/>
    </xf>
    <xf numFmtId="0" fontId="2" fillId="0" borderId="0" xfId="1"/>
    <xf numFmtId="0" fontId="2" fillId="0" borderId="1" xfId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5" fillId="0" borderId="0" xfId="0" applyFont="1"/>
    <xf numFmtId="0" fontId="1" fillId="0" borderId="1" xfId="0" applyFont="1" applyBorder="1"/>
    <xf numFmtId="0" fontId="5" fillId="0" borderId="1" xfId="0" applyFont="1" applyBorder="1"/>
    <xf numFmtId="14" fontId="0" fillId="0" borderId="0" xfId="0" applyNumberFormat="1"/>
    <xf numFmtId="0" fontId="6" fillId="0" borderId="0" xfId="0" applyFont="1"/>
    <xf numFmtId="0" fontId="0" fillId="0" borderId="0" xfId="0" applyAlignment="1">
      <alignment horizontal="left" indent="1"/>
    </xf>
    <xf numFmtId="0" fontId="7" fillId="0" borderId="0" xfId="1" applyFont="1"/>
    <xf numFmtId="0" fontId="8" fillId="0" borderId="0" xfId="1" applyFont="1"/>
    <xf numFmtId="0" fontId="7" fillId="0" borderId="2" xfId="1" applyFont="1" applyBorder="1"/>
    <xf numFmtId="0" fontId="7" fillId="0" borderId="3" xfId="1" applyFont="1" applyBorder="1"/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2" borderId="6" xfId="1" quotePrefix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3" borderId="8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right"/>
    </xf>
    <xf numFmtId="0" fontId="7" fillId="0" borderId="8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8" fillId="4" borderId="7" xfId="1" applyFont="1" applyFill="1" applyBorder="1" applyAlignment="1">
      <alignment horizontal="right"/>
    </xf>
    <xf numFmtId="0" fontId="8" fillId="3" borderId="6" xfId="1" applyFont="1" applyFill="1" applyBorder="1"/>
    <xf numFmtId="0" fontId="8" fillId="3" borderId="1" xfId="1" applyFont="1" applyFill="1" applyBorder="1"/>
    <xf numFmtId="0" fontId="8" fillId="4" borderId="7" xfId="1" applyFont="1" applyFill="1" applyBorder="1"/>
    <xf numFmtId="0" fontId="8" fillId="2" borderId="9" xfId="1" applyFont="1" applyFill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3" borderId="9" xfId="1" applyFont="1" applyFill="1" applyBorder="1"/>
    <xf numFmtId="0" fontId="8" fillId="3" borderId="10" xfId="1" applyFont="1" applyFill="1" applyBorder="1"/>
    <xf numFmtId="0" fontId="8" fillId="4" borderId="11" xfId="1" applyFont="1" applyFill="1" applyBorder="1"/>
    <xf numFmtId="0" fontId="8" fillId="0" borderId="0" xfId="1" applyFont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right"/>
    </xf>
    <xf numFmtId="0" fontId="10" fillId="0" borderId="0" xfId="1" applyFont="1"/>
    <xf numFmtId="0" fontId="12" fillId="0" borderId="0" xfId="2" applyFont="1" applyAlignment="1" applyProtection="1"/>
    <xf numFmtId="0" fontId="4" fillId="0" borderId="0" xfId="1" applyFont="1"/>
    <xf numFmtId="0" fontId="7" fillId="5" borderId="1" xfId="1" applyFont="1" applyFill="1" applyBorder="1"/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right"/>
    </xf>
    <xf numFmtId="164" fontId="8" fillId="3" borderId="1" xfId="1" applyNumberFormat="1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165" fontId="8" fillId="3" borderId="1" xfId="1" applyNumberFormat="1" applyFont="1" applyFill="1" applyBorder="1"/>
    <xf numFmtId="2" fontId="8" fillId="4" borderId="1" xfId="1" applyNumberFormat="1" applyFont="1" applyFill="1" applyBorder="1"/>
    <xf numFmtId="0" fontId="4" fillId="0" borderId="12" xfId="1" applyFont="1" applyBorder="1"/>
    <xf numFmtId="0" fontId="4" fillId="0" borderId="13" xfId="1" applyFont="1" applyBorder="1"/>
    <xf numFmtId="0" fontId="4" fillId="0" borderId="14" xfId="1" applyFont="1" applyBorder="1"/>
    <xf numFmtId="0" fontId="4" fillId="0" borderId="15" xfId="1" applyFont="1" applyBorder="1"/>
    <xf numFmtId="0" fontId="8" fillId="0" borderId="8" xfId="1" applyFont="1" applyBorder="1"/>
    <xf numFmtId="0" fontId="8" fillId="0" borderId="2" xfId="1" applyFont="1" applyBorder="1"/>
    <xf numFmtId="0" fontId="8" fillId="0" borderId="3" xfId="1" applyFont="1" applyBorder="1"/>
    <xf numFmtId="0" fontId="4" fillId="0" borderId="16" xfId="1" applyFont="1" applyBorder="1"/>
    <xf numFmtId="0" fontId="8" fillId="0" borderId="6" xfId="1" applyFont="1" applyBorder="1"/>
    <xf numFmtId="0" fontId="8" fillId="0" borderId="1" xfId="1" applyFont="1" applyBorder="1"/>
    <xf numFmtId="0" fontId="8" fillId="0" borderId="7" xfId="1" applyFont="1" applyBorder="1"/>
    <xf numFmtId="0" fontId="4" fillId="0" borderId="17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11" xfId="1" applyFont="1" applyBorder="1"/>
    <xf numFmtId="0" fontId="7" fillId="0" borderId="1" xfId="1" applyFont="1" applyBorder="1" applyAlignment="1">
      <alignment horizontal="right"/>
    </xf>
    <xf numFmtId="165" fontId="7" fillId="4" borderId="1" xfId="1" applyNumberFormat="1" applyFont="1" applyFill="1" applyBorder="1"/>
    <xf numFmtId="0" fontId="5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5" fillId="0" borderId="0" xfId="1" applyFont="1" applyAlignment="1">
      <alignment horizontal="left" indent="2"/>
    </xf>
    <xf numFmtId="0" fontId="17" fillId="0" borderId="0" xfId="1" applyFont="1"/>
    <xf numFmtId="0" fontId="18" fillId="0" borderId="0" xfId="1" applyFont="1" applyAlignment="1">
      <alignment horizontal="center"/>
    </xf>
    <xf numFmtId="0" fontId="3" fillId="6" borderId="1" xfId="1" applyFont="1" applyFill="1" applyBorder="1"/>
    <xf numFmtId="1" fontId="3" fillId="7" borderId="1" xfId="1" applyNumberFormat="1" applyFont="1" applyFill="1" applyBorder="1"/>
    <xf numFmtId="0" fontId="19" fillId="6" borderId="1" xfId="1" applyFont="1" applyFill="1" applyBorder="1"/>
    <xf numFmtId="0" fontId="19" fillId="6" borderId="1" xfId="1" applyFont="1" applyFill="1" applyBorder="1" applyAlignment="1">
      <alignment horizontal="center"/>
    </xf>
    <xf numFmtId="3" fontId="19" fillId="7" borderId="1" xfId="1" applyNumberFormat="1" applyFont="1" applyFill="1" applyBorder="1"/>
    <xf numFmtId="0" fontId="2" fillId="4" borderId="6" xfId="1" applyFill="1" applyBorder="1" applyAlignment="1">
      <alignment horizontal="center"/>
    </xf>
    <xf numFmtId="0" fontId="20" fillId="0" borderId="0" xfId="1" applyFont="1" applyAlignment="1">
      <alignment horizontal="left" indent="2"/>
    </xf>
    <xf numFmtId="166" fontId="19" fillId="7" borderId="1" xfId="1" applyNumberFormat="1" applyFont="1" applyFill="1" applyBorder="1"/>
    <xf numFmtId="166" fontId="2" fillId="4" borderId="6" xfId="1" applyNumberFormat="1" applyFill="1" applyBorder="1" applyAlignment="1">
      <alignment horizontal="center"/>
    </xf>
    <xf numFmtId="0" fontId="22" fillId="0" borderId="0" xfId="1" applyFont="1" applyAlignment="1">
      <alignment horizontal="left" indent="2"/>
    </xf>
    <xf numFmtId="0" fontId="18" fillId="0" borderId="0" xfId="1" applyFont="1" applyAlignment="1">
      <alignment horizontal="left" indent="1"/>
    </xf>
    <xf numFmtId="0" fontId="20" fillId="0" borderId="0" xfId="1" applyFont="1" applyAlignment="1">
      <alignment horizontal="left" vertical="center" indent="2"/>
    </xf>
    <xf numFmtId="0" fontId="23" fillId="0" borderId="0" xfId="1" applyFont="1" applyAlignment="1">
      <alignment horizontal="left" indent="2"/>
    </xf>
    <xf numFmtId="14" fontId="0" fillId="0" borderId="1" xfId="0" applyNumberFormat="1" applyBorder="1"/>
    <xf numFmtId="0" fontId="27" fillId="0" borderId="0" xfId="1" applyFont="1" applyAlignment="1">
      <alignment horizontal="center"/>
    </xf>
    <xf numFmtId="0" fontId="0" fillId="0" borderId="1" xfId="0" quotePrefix="1" applyBorder="1"/>
    <xf numFmtId="2" fontId="0" fillId="0" borderId="1" xfId="0" applyNumberFormat="1" applyBorder="1"/>
    <xf numFmtId="165" fontId="2" fillId="0" borderId="1" xfId="1" applyNumberFormat="1" applyBorder="1"/>
    <xf numFmtId="9" fontId="0" fillId="0" borderId="1" xfId="0" applyNumberFormat="1" applyBorder="1"/>
    <xf numFmtId="9" fontId="8" fillId="4" borderId="1" xfId="1" applyNumberFormat="1" applyFont="1" applyFill="1" applyBorder="1"/>
    <xf numFmtId="9" fontId="8" fillId="4" borderId="10" xfId="1" applyNumberFormat="1" applyFont="1" applyFill="1" applyBorder="1"/>
    <xf numFmtId="0" fontId="0" fillId="7" borderId="1" xfId="0" applyFill="1" applyBorder="1"/>
    <xf numFmtId="0" fontId="7" fillId="0" borderId="0" xfId="1" applyFont="1" applyAlignment="1">
      <alignment horizontal="center" vertical="center" wrapText="1"/>
    </xf>
  </cellXfs>
  <cellStyles count="4">
    <cellStyle name="Hyperlink" xfId="2" builtinId="8"/>
    <cellStyle name="Normal" xfId="0" builtinId="0"/>
    <cellStyle name="Normal 3" xfId="1" xr:uid="{7D4F2A99-D50A-433E-8CD0-48C25CE688E5}"/>
    <cellStyle name="Normal 4" xfId="3" xr:uid="{ADC03567-4711-42D6-AA29-A2D50FC66036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11</xdr:row>
      <xdr:rowOff>88900</xdr:rowOff>
    </xdr:from>
    <xdr:ext cx="5454650" cy="175224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34B3F9-7109-45B9-B0EF-894E04110A48}"/>
            </a:ext>
          </a:extLst>
        </xdr:cNvPr>
        <xdr:cNvSpPr txBox="1"/>
      </xdr:nvSpPr>
      <xdr:spPr>
        <a:xfrm>
          <a:off x="2463800" y="2114550"/>
          <a:ext cx="5454650" cy="1752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08000" rtlCol="0" anchor="t">
          <a:spAutoFit/>
        </a:bodyPr>
        <a:lstStyle/>
        <a:p>
          <a:r>
            <a:rPr lang="et-EE" sz="1400" b="1"/>
            <a:t>Ülesanne</a:t>
          </a:r>
        </a:p>
        <a:p>
          <a:r>
            <a:rPr lang="et-EE" sz="1400" b="0"/>
            <a:t>Määrata sisestuskontrolli</a:t>
          </a:r>
          <a:r>
            <a:rPr lang="et-EE" sz="1400" b="0" baseline="0"/>
            <a:t> (valideerimise) reeglid, sisend- ja veateated.</a:t>
          </a:r>
        </a:p>
        <a:p>
          <a:r>
            <a:rPr lang="et-EE" sz="1400" b="0" baseline="0"/>
            <a:t>Sisendteade (</a:t>
          </a:r>
          <a:r>
            <a:rPr lang="et-EE" sz="1400" b="0" i="1" baseline="0"/>
            <a:t>Input Message</a:t>
          </a:r>
          <a:r>
            <a:rPr lang="et-EE" sz="1400" b="0" baseline="0"/>
            <a:t>) peaks olema võimalikult väike, et ei hakkaks ekraanil segama.</a:t>
          </a:r>
        </a:p>
        <a:p>
          <a:r>
            <a:rPr lang="et-EE" sz="1400" b="0" baseline="0"/>
            <a:t>Veateate (</a:t>
          </a:r>
          <a:r>
            <a:rPr lang="et-EE" sz="1400" b="0" i="1" baseline="0"/>
            <a:t>Error Alert</a:t>
          </a:r>
          <a:r>
            <a:rPr lang="et-EE" sz="1400" b="0" baseline="0"/>
            <a:t>) juures tuleb määrata ka kontrolli stiil (style): </a:t>
          </a:r>
          <a:r>
            <a:rPr lang="et-EE" sz="1400" b="0" i="1" baseline="0"/>
            <a:t>Stop</a:t>
          </a:r>
          <a:r>
            <a:rPr lang="et-EE" sz="1400" b="0" baseline="0"/>
            <a:t>, </a:t>
          </a:r>
          <a:r>
            <a:rPr lang="et-EE" sz="1400" b="0" i="1" baseline="0"/>
            <a:t>Warning</a:t>
          </a:r>
          <a:r>
            <a:rPr lang="et-EE" sz="1400" b="0" baseline="0"/>
            <a:t>, </a:t>
          </a:r>
          <a:r>
            <a:rPr lang="et-EE" sz="1400" b="0" i="1" baseline="0"/>
            <a:t>Information</a:t>
          </a:r>
          <a:r>
            <a:rPr lang="et-EE" sz="1400" b="0" baseline="0"/>
            <a:t>.</a:t>
          </a:r>
        </a:p>
        <a:p>
          <a:r>
            <a:rPr lang="et-EE" sz="1400" b="0" baseline="0"/>
            <a:t>NB! Loend, millest tuleb valida väärtusi, peaks olema järjestatud!</a:t>
          </a:r>
          <a:endParaRPr lang="et-EE" sz="1400" b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74614</xdr:colOff>
      <xdr:row>0</xdr:row>
      <xdr:rowOff>103187</xdr:rowOff>
    </xdr:from>
    <xdr:ext cx="8437561" cy="183625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BDB77DF-A31D-41D0-80DD-DDBF35C51413}"/>
            </a:ext>
          </a:extLst>
        </xdr:cNvPr>
        <xdr:cNvSpPr txBox="1"/>
      </xdr:nvSpPr>
      <xdr:spPr>
        <a:xfrm>
          <a:off x="684214" y="103187"/>
          <a:ext cx="8437561" cy="18362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72000" rIns="108000" bIns="72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 b="1"/>
        </a:p>
        <a:p>
          <a:r>
            <a:rPr lang="et-EE" sz="1200" b="0"/>
            <a:t>Leida</a:t>
          </a:r>
          <a:r>
            <a:rPr lang="et-EE" sz="1200" b="0" baseline="0"/>
            <a:t> inimese ameti järgi palk. Kasutada erinevaid funktsioone: INDEX+MATCH, VLOOKUP, XLOOKUP, LOOKUP. </a:t>
          </a:r>
        </a:p>
        <a:p>
          <a:r>
            <a:rPr lang="et-EE" sz="1200" b="0" baseline="0"/>
            <a:t>NB! Tegemist on täpse otsinguga.</a:t>
          </a:r>
        </a:p>
        <a:p>
          <a:endParaRPr lang="et-EE" sz="1200" b="0"/>
        </a:p>
        <a:p>
          <a:r>
            <a:rPr lang="et-EE" sz="1200" b="0"/>
            <a:t>Leida kolme kõige noorema ja kolme kõige vanema inimese</a:t>
          </a:r>
          <a:r>
            <a:rPr lang="et-EE" sz="1200" b="0" baseline="0"/>
            <a:t> nimed.</a:t>
          </a:r>
        </a:p>
        <a:p>
          <a:r>
            <a:rPr lang="et-EE" sz="1200" b="0" baseline="0"/>
            <a:t>NB! Sünniajad on kõik erinevad.</a:t>
          </a:r>
        </a:p>
        <a:p>
          <a:endParaRPr lang="et-EE" sz="1200" b="0" baseline="0"/>
        </a:p>
        <a:p>
          <a:r>
            <a:rPr lang="et-EE" sz="1200" b="0" baseline="0"/>
            <a:t>Leida palkade aritmeetiline keskmine, mediaan (asendikeskmine), ja kvartiilid. Leida, mitu palka on igast kvartiilist suuremad.</a:t>
          </a:r>
          <a:endParaRPr lang="et-EE" sz="1200" b="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</xdr:colOff>
      <xdr:row>0</xdr:row>
      <xdr:rowOff>9938</xdr:rowOff>
    </xdr:from>
    <xdr:ext cx="5847938" cy="224328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2DB9C3-D120-4D8E-BC6B-3BAB729007F7}"/>
            </a:ext>
          </a:extLst>
        </xdr:cNvPr>
        <xdr:cNvSpPr txBox="1"/>
      </xdr:nvSpPr>
      <xdr:spPr>
        <a:xfrm>
          <a:off x="412" y="9938"/>
          <a:ext cx="5847938" cy="22432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72000" rIns="108000" bIns="72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600" b="1"/>
        </a:p>
        <a:p>
          <a:r>
            <a:rPr lang="et-EE" sz="1200"/>
            <a:t>Teha tabel, milles on 15 tudengi viie kontrolltöö juhuarvudena </a:t>
          </a:r>
        </a:p>
        <a:p>
          <a:r>
            <a:rPr lang="et-EE" sz="1200"/>
            <a:t>leitud tulemused (40-100 punkti, fn RANDBETWEEN). </a:t>
          </a:r>
        </a:p>
        <a:p>
          <a:endParaRPr lang="et-EE" sz="700"/>
        </a:p>
        <a:p>
          <a:r>
            <a:rPr lang="et-EE" sz="1200" baseline="0"/>
            <a:t>Punktidest hinde (0 kuni 5) leidmiseks moodustada otsitabelid (2 veergu: punktid ja hinded). NB! tegemist on vahemikuotsinguga. Kasutada punktidest hinde saamiseks erinevaid funktsioone: INDEX+MATCH, VLOOKUP, LOOKUP, XLOOKUP.</a:t>
          </a:r>
          <a:endParaRPr lang="et-EE" sz="1200"/>
        </a:p>
        <a:p>
          <a:endParaRPr lang="et-EE" sz="700"/>
        </a:p>
        <a:p>
          <a:r>
            <a:rPr lang="et-EE" sz="1200"/>
            <a:t>Leida koondhinne: viie hinde keskmine, mis antakse vaid juhul, kui kõik viis hinnet on vähemalt "ühed".</a:t>
          </a:r>
        </a:p>
        <a:p>
          <a:endParaRPr lang="et-EE" sz="600"/>
        </a:p>
        <a:p>
          <a:r>
            <a:rPr lang="et-EE" sz="1200"/>
            <a:t>Leida koondhinnete keskmine, mediaan ja kõige rohkem esinev hinne.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19050</xdr:rowOff>
    </xdr:from>
    <xdr:ext cx="7572375" cy="183625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D95FB3-9E05-41BD-825D-3B9A19E601CA}"/>
            </a:ext>
          </a:extLst>
        </xdr:cNvPr>
        <xdr:cNvSpPr txBox="1"/>
      </xdr:nvSpPr>
      <xdr:spPr>
        <a:xfrm>
          <a:off x="7315200" y="19050"/>
          <a:ext cx="7572375" cy="18362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72000" rIns="108000" bIns="72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 b="1"/>
        </a:p>
        <a:p>
          <a:r>
            <a:rPr lang="et-EE" sz="1200" b="0"/>
            <a:t>Kopeerida töölehelt Töötajad andmetabel nii, et palkade valemi asemel oleksid väärtused (PasteSpecial - Values).</a:t>
          </a:r>
        </a:p>
        <a:p>
          <a:endParaRPr lang="et-EE" sz="1200" b="0"/>
        </a:p>
        <a:p>
          <a:r>
            <a:rPr lang="et-EE" sz="1200" b="0"/>
            <a:t>Lisada veerg vanuse jaoks ja leida see valemiga.</a:t>
          </a:r>
        </a:p>
        <a:p>
          <a:endParaRPr lang="et-EE" sz="1200" b="0"/>
        </a:p>
        <a:p>
          <a:r>
            <a:rPr lang="et-EE" sz="1200" b="0"/>
            <a:t>Leida iga ameti kohta töötajate arv,</a:t>
          </a:r>
          <a:r>
            <a:rPr lang="et-EE" sz="1200" b="0" baseline="0"/>
            <a:t> nende palkade summa ja suurim palk</a:t>
          </a:r>
          <a:endParaRPr lang="et-EE" sz="1200" b="0"/>
        </a:p>
        <a:p>
          <a:endParaRPr lang="et-EE" sz="1200" b="0"/>
        </a:p>
        <a:p>
          <a:r>
            <a:rPr lang="et-EE" sz="1200" b="0"/>
            <a:t>Leida iga linna kohta keskmine vanus naiste</a:t>
          </a:r>
          <a:r>
            <a:rPr lang="et-EE" sz="1200" b="0" baseline="0"/>
            <a:t> ja meeste kohta eraldi. Üks valem sobib kopeerimiseks terve tabelikese jaoks.</a:t>
          </a:r>
          <a:endParaRPr lang="et-EE" sz="1200" b="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273050</xdr:colOff>
      <xdr:row>15</xdr:row>
      <xdr:rowOff>158750</xdr:rowOff>
    </xdr:from>
    <xdr:ext cx="4152900" cy="123313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501DA8-C7AC-47C9-BD9B-008C8B59F78F}"/>
            </a:ext>
          </a:extLst>
        </xdr:cNvPr>
        <xdr:cNvSpPr txBox="1"/>
      </xdr:nvSpPr>
      <xdr:spPr>
        <a:xfrm>
          <a:off x="3000375" y="2781300"/>
          <a:ext cx="4152900" cy="12331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08000" rIns="144000" bIns="108000" rtlCol="0" anchor="t">
          <a:spAutoFit/>
        </a:bodyPr>
        <a:lstStyle/>
        <a:p>
          <a:pPr>
            <a:spcAft>
              <a:spcPts val="600"/>
            </a:spcAft>
          </a:pPr>
          <a:r>
            <a:rPr lang="en-US" sz="1100"/>
            <a:t>Leida </a:t>
          </a:r>
          <a:r>
            <a:rPr lang="et-EE" sz="1100"/>
            <a:t>tabelisse Hinded </a:t>
          </a:r>
          <a:r>
            <a:rPr lang="en-US" sz="1100"/>
            <a:t>iga õppuri nimi ja aine nimetus</a:t>
          </a:r>
          <a:r>
            <a:rPr lang="et-EE" sz="1100"/>
            <a:t>.</a:t>
          </a:r>
        </a:p>
        <a:p>
          <a:pPr>
            <a:spcAft>
              <a:spcPts val="600"/>
            </a:spcAft>
          </a:pPr>
          <a:r>
            <a:rPr lang="en-US" sz="1100"/>
            <a:t>Leida</a:t>
          </a:r>
          <a:r>
            <a:rPr lang="et-EE" sz="1100"/>
            <a:t> Tabelisse Õppurid</a:t>
          </a:r>
          <a:r>
            <a:rPr lang="en-US" sz="1100"/>
            <a:t>, mitu ainet on</a:t>
          </a:r>
          <a:r>
            <a:rPr lang="et-EE" sz="1100"/>
            <a:t> iga</a:t>
          </a:r>
          <a:r>
            <a:rPr lang="en-US" sz="1100"/>
            <a:t> õppur sooritan</a:t>
          </a:r>
          <a:r>
            <a:rPr lang="et-EE" sz="1100"/>
            <a:t>ud ja mis on tema keskmine hinne.</a:t>
          </a:r>
        </a:p>
        <a:p>
          <a:pPr>
            <a:spcAft>
              <a:spcPts val="600"/>
            </a:spcAft>
          </a:pPr>
          <a:r>
            <a:rPr lang="et-EE" sz="1100"/>
            <a:t>Leida tabelisse</a:t>
          </a:r>
          <a:r>
            <a:rPr lang="et-EE" sz="1100" baseline="0"/>
            <a:t> Ained, mitu õppurit on iga ainet sooritanud ja mis on aines keskmine hinne.</a:t>
          </a:r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lga.mironova\PrivatData\S&#252;gis_2026\ITX0010\Excel\Harjutus_3.xlsx" TargetMode="External"/><Relationship Id="rId1" Type="http://schemas.openxmlformats.org/officeDocument/2006/relationships/externalLinkPath" Target="Harjutus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itel"/>
      <sheetName val="Valideerimine"/>
      <sheetName val="Töötajad"/>
      <sheetName val="Hinded"/>
      <sheetName val="Statistika"/>
      <sheetName val="Andmebaas"/>
      <sheetName val="Vahemik"/>
      <sheetName val="Palgid"/>
      <sheetName val="Abi"/>
      <sheetName val="Otsifunktsioonid"/>
      <sheetName val="IND"/>
      <sheetName val="MAT"/>
      <sheetName val="IND_MAT_Vekt"/>
      <sheetName val="IND_MAT_TAB"/>
      <sheetName val="VLOOK"/>
      <sheetName val="XLOOK"/>
      <sheetName val="L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C6" t="str">
            <v>Jaanuar</v>
          </cell>
          <cell r="E6">
            <v>10</v>
          </cell>
        </row>
        <row r="7">
          <cell r="C7" t="str">
            <v>Veebruar</v>
          </cell>
        </row>
        <row r="8">
          <cell r="C8" t="str">
            <v>Märts</v>
          </cell>
        </row>
        <row r="9">
          <cell r="C9" t="str">
            <v>Aprill</v>
          </cell>
        </row>
        <row r="10">
          <cell r="C10" t="str">
            <v>Mai</v>
          </cell>
        </row>
        <row r="11">
          <cell r="C11" t="str">
            <v>Juuni</v>
          </cell>
        </row>
        <row r="12">
          <cell r="C12" t="str">
            <v>Juuli</v>
          </cell>
        </row>
        <row r="13">
          <cell r="C13" t="str">
            <v>August</v>
          </cell>
        </row>
        <row r="14">
          <cell r="C14" t="str">
            <v>September</v>
          </cell>
        </row>
        <row r="15">
          <cell r="C15" t="str">
            <v>Oktoober</v>
          </cell>
        </row>
        <row r="16">
          <cell r="C16" t="str">
            <v>November</v>
          </cell>
        </row>
        <row r="17">
          <cell r="C17" t="str">
            <v>Detsember</v>
          </cell>
        </row>
      </sheetData>
      <sheetData sheetId="11">
        <row r="6">
          <cell r="C6" t="str">
            <v>Alan Pent</v>
          </cell>
          <cell r="E6" t="str">
            <v>Mart Metsjõe</v>
          </cell>
        </row>
        <row r="7">
          <cell r="C7" t="str">
            <v>Anton Smirnov</v>
          </cell>
        </row>
        <row r="8">
          <cell r="C8" t="str">
            <v>Rasmus Pruul</v>
          </cell>
        </row>
        <row r="9">
          <cell r="C9" t="str">
            <v>Ivo Värk</v>
          </cell>
        </row>
        <row r="10">
          <cell r="C10" t="str">
            <v>Aivar Jakobson</v>
          </cell>
        </row>
        <row r="11">
          <cell r="C11" t="str">
            <v>Aivar Teearu</v>
          </cell>
        </row>
        <row r="12">
          <cell r="C12" t="str">
            <v>Mart Kivi</v>
          </cell>
        </row>
        <row r="13">
          <cell r="C13" t="str">
            <v>Mart Metsjõe</v>
          </cell>
        </row>
        <row r="14">
          <cell r="C14" t="str">
            <v>Dmitri Käsper</v>
          </cell>
        </row>
        <row r="15">
          <cell r="C15" t="str">
            <v>Tiina Amos</v>
          </cell>
        </row>
        <row r="16">
          <cell r="C16" t="str">
            <v>Alari Kaljo</v>
          </cell>
        </row>
        <row r="17">
          <cell r="C17" t="str">
            <v>Tiiu Tamm</v>
          </cell>
        </row>
        <row r="18">
          <cell r="C18" t="str">
            <v xml:space="preserve">Janari Kaljo </v>
          </cell>
        </row>
        <row r="19">
          <cell r="C19" t="str">
            <v>Sander Soosaar</v>
          </cell>
        </row>
        <row r="20">
          <cell r="C20" t="str">
            <v>Annika Männik</v>
          </cell>
        </row>
        <row r="21">
          <cell r="C21" t="str">
            <v>Andrei Kedrov</v>
          </cell>
        </row>
        <row r="22">
          <cell r="C22" t="str">
            <v>Kert Jürgenson</v>
          </cell>
        </row>
      </sheetData>
      <sheetData sheetId="12">
        <row r="6">
          <cell r="C6">
            <v>1151.6175000000003</v>
          </cell>
        </row>
        <row r="7">
          <cell r="C7">
            <v>1551.825</v>
          </cell>
        </row>
        <row r="8">
          <cell r="C8">
            <v>816.75000000000011</v>
          </cell>
        </row>
        <row r="9">
          <cell r="C9">
            <v>1470.1500000000003</v>
          </cell>
        </row>
        <row r="10">
          <cell r="C10">
            <v>1094.4450000000002</v>
          </cell>
        </row>
        <row r="11">
          <cell r="C11">
            <v>1633.5000000000002</v>
          </cell>
        </row>
        <row r="12">
          <cell r="C12">
            <v>1094.4450000000002</v>
          </cell>
        </row>
        <row r="13">
          <cell r="C13">
            <v>1813.1850000000004</v>
          </cell>
        </row>
        <row r="14">
          <cell r="C14">
            <v>1143.4500000000003</v>
          </cell>
        </row>
        <row r="15">
          <cell r="C15">
            <v>898.42500000000007</v>
          </cell>
        </row>
        <row r="16">
          <cell r="C16">
            <v>980.1</v>
          </cell>
        </row>
        <row r="17">
          <cell r="C17">
            <v>1404.8100000000002</v>
          </cell>
        </row>
        <row r="18">
          <cell r="C18">
            <v>1306.8000000000004</v>
          </cell>
        </row>
        <row r="19">
          <cell r="C19">
            <v>931.09500000000014</v>
          </cell>
        </row>
        <row r="20">
          <cell r="C20">
            <v>1110.7800000000002</v>
          </cell>
        </row>
        <row r="21">
          <cell r="C21">
            <v>1600.8300000000004</v>
          </cell>
        </row>
        <row r="22">
          <cell r="C22">
            <v>816.75000000000011</v>
          </cell>
        </row>
      </sheetData>
      <sheetData sheetId="13">
        <row r="6">
          <cell r="C6" t="str">
            <v>Palk_2020</v>
          </cell>
          <cell r="D6" t="str">
            <v>Palk_2021</v>
          </cell>
          <cell r="E6" t="str">
            <v>Palk_2022</v>
          </cell>
        </row>
        <row r="7">
          <cell r="B7" t="str">
            <v>Alan Pent</v>
          </cell>
          <cell r="C7">
            <v>1151.6175000000003</v>
          </cell>
          <cell r="D7">
            <v>1046.9250000000002</v>
          </cell>
          <cell r="E7">
            <v>951.75000000000011</v>
          </cell>
          <cell r="H7" t="str">
            <v>Palk_2022</v>
          </cell>
        </row>
        <row r="8">
          <cell r="B8" t="str">
            <v>Anton Smirnov</v>
          </cell>
          <cell r="C8">
            <v>1551.825</v>
          </cell>
          <cell r="D8">
            <v>1410.75</v>
          </cell>
          <cell r="E8">
            <v>1282.5</v>
          </cell>
        </row>
        <row r="9">
          <cell r="B9" t="str">
            <v>Rasmus Pruul</v>
          </cell>
          <cell r="C9">
            <v>816.75000000000011</v>
          </cell>
          <cell r="D9">
            <v>742.5</v>
          </cell>
          <cell r="E9">
            <v>675</v>
          </cell>
        </row>
        <row r="10">
          <cell r="B10" t="str">
            <v>Ivo Värk</v>
          </cell>
          <cell r="C10">
            <v>1470.1500000000003</v>
          </cell>
          <cell r="D10">
            <v>1336.5000000000002</v>
          </cell>
          <cell r="E10">
            <v>1215</v>
          </cell>
        </row>
        <row r="11">
          <cell r="B11" t="str">
            <v>Aivar Jakobson</v>
          </cell>
          <cell r="C11">
            <v>1094.4450000000002</v>
          </cell>
          <cell r="D11">
            <v>994.95</v>
          </cell>
          <cell r="E11">
            <v>904.5</v>
          </cell>
        </row>
        <row r="12">
          <cell r="B12" t="str">
            <v>Aivar Teearu</v>
          </cell>
          <cell r="C12">
            <v>1633.5000000000002</v>
          </cell>
          <cell r="D12">
            <v>1485</v>
          </cell>
          <cell r="E12">
            <v>1350</v>
          </cell>
        </row>
        <row r="13">
          <cell r="B13" t="str">
            <v>Mart Kivi</v>
          </cell>
          <cell r="C13">
            <v>1094.4450000000002</v>
          </cell>
          <cell r="D13">
            <v>994.95</v>
          </cell>
          <cell r="E13">
            <v>904.5</v>
          </cell>
        </row>
        <row r="14">
          <cell r="B14" t="str">
            <v>Mart Metsjõe</v>
          </cell>
          <cell r="C14">
            <v>1813.1850000000004</v>
          </cell>
          <cell r="D14">
            <v>1648.3500000000001</v>
          </cell>
          <cell r="E14">
            <v>1498.5</v>
          </cell>
        </row>
        <row r="15">
          <cell r="B15" t="str">
            <v>Dmitri Käsper</v>
          </cell>
          <cell r="C15">
            <v>1143.4500000000003</v>
          </cell>
          <cell r="D15">
            <v>1039.5000000000002</v>
          </cell>
          <cell r="E15">
            <v>945.00000000000011</v>
          </cell>
        </row>
        <row r="16">
          <cell r="B16" t="str">
            <v>Tiina Amos</v>
          </cell>
          <cell r="C16">
            <v>898.42500000000007</v>
          </cell>
          <cell r="D16">
            <v>816.75</v>
          </cell>
          <cell r="E16">
            <v>742.49999999999989</v>
          </cell>
        </row>
        <row r="17">
          <cell r="B17" t="str">
            <v>Alari Kaljo</v>
          </cell>
          <cell r="C17">
            <v>980.1</v>
          </cell>
          <cell r="D17">
            <v>891</v>
          </cell>
          <cell r="E17">
            <v>809.99999999999989</v>
          </cell>
        </row>
        <row r="18">
          <cell r="B18" t="str">
            <v>Tiiu Tamm</v>
          </cell>
          <cell r="C18">
            <v>1404.8100000000002</v>
          </cell>
          <cell r="D18">
            <v>1277.1000000000001</v>
          </cell>
          <cell r="E18">
            <v>1161</v>
          </cell>
        </row>
        <row r="19">
          <cell r="B19" t="str">
            <v xml:space="preserve">Janari Kaljo </v>
          </cell>
          <cell r="C19">
            <v>1306.8000000000004</v>
          </cell>
          <cell r="D19">
            <v>1188.0000000000002</v>
          </cell>
          <cell r="E19">
            <v>1080.0000000000002</v>
          </cell>
        </row>
        <row r="20">
          <cell r="B20" t="str">
            <v>Sander Soosaar</v>
          </cell>
          <cell r="C20">
            <v>931.09500000000014</v>
          </cell>
          <cell r="D20">
            <v>846.45</v>
          </cell>
          <cell r="E20">
            <v>769.5</v>
          </cell>
        </row>
        <row r="21">
          <cell r="B21" t="str">
            <v>Annika Männik</v>
          </cell>
          <cell r="C21">
            <v>1110.7800000000002</v>
          </cell>
          <cell r="D21">
            <v>1009.8000000000001</v>
          </cell>
          <cell r="E21">
            <v>918</v>
          </cell>
        </row>
        <row r="22">
          <cell r="B22" t="str">
            <v>Andrei Kedrov</v>
          </cell>
          <cell r="C22">
            <v>1600.8300000000004</v>
          </cell>
          <cell r="D22">
            <v>1455.3000000000002</v>
          </cell>
          <cell r="E22">
            <v>1323</v>
          </cell>
        </row>
        <row r="23">
          <cell r="B23" t="str">
            <v>Kert Jürgenson</v>
          </cell>
          <cell r="C23">
            <v>816.75000000000011</v>
          </cell>
          <cell r="D23">
            <v>742.5</v>
          </cell>
          <cell r="E23">
            <v>675</v>
          </cell>
        </row>
      </sheetData>
      <sheetData sheetId="14">
        <row r="6">
          <cell r="B6" t="str">
            <v>Alan Pent</v>
          </cell>
          <cell r="C6">
            <v>1151.6175000000003</v>
          </cell>
        </row>
        <row r="7">
          <cell r="B7" t="str">
            <v>Anton Smirnov</v>
          </cell>
          <cell r="C7">
            <v>1551.825</v>
          </cell>
        </row>
        <row r="8">
          <cell r="B8" t="str">
            <v>Rasmus Pruul</v>
          </cell>
          <cell r="C8">
            <v>816.75000000000011</v>
          </cell>
        </row>
        <row r="9">
          <cell r="B9" t="str">
            <v>Ivo Värk</v>
          </cell>
          <cell r="C9">
            <v>1470.1500000000003</v>
          </cell>
        </row>
        <row r="10">
          <cell r="B10" t="str">
            <v>Aivar Jakobson</v>
          </cell>
          <cell r="C10">
            <v>1094.4450000000002</v>
          </cell>
        </row>
        <row r="11">
          <cell r="B11" t="str">
            <v>Aivar Teearu</v>
          </cell>
          <cell r="C11">
            <v>1633.5000000000002</v>
          </cell>
        </row>
        <row r="12">
          <cell r="B12" t="str">
            <v>Mart Kivi</v>
          </cell>
          <cell r="C12">
            <v>1094.4450000000002</v>
          </cell>
        </row>
        <row r="13">
          <cell r="B13" t="str">
            <v>Mart Metsjõe</v>
          </cell>
          <cell r="C13">
            <v>1813.1850000000004</v>
          </cell>
        </row>
        <row r="14">
          <cell r="B14" t="str">
            <v>Dmitri Käsper</v>
          </cell>
          <cell r="C14">
            <v>1143.4500000000003</v>
          </cell>
        </row>
        <row r="15">
          <cell r="B15" t="str">
            <v>Tiina Amos</v>
          </cell>
          <cell r="C15">
            <v>898.42500000000007</v>
          </cell>
        </row>
        <row r="16">
          <cell r="B16" t="str">
            <v>Alari Kaljo</v>
          </cell>
          <cell r="C16">
            <v>980.1</v>
          </cell>
        </row>
        <row r="17">
          <cell r="B17" t="str">
            <v>Tiiu Tamm</v>
          </cell>
          <cell r="C17">
            <v>1404.8100000000002</v>
          </cell>
        </row>
        <row r="18">
          <cell r="B18" t="str">
            <v xml:space="preserve">Janari Kaljo </v>
          </cell>
          <cell r="C18">
            <v>1306.8000000000004</v>
          </cell>
        </row>
        <row r="19">
          <cell r="B19" t="str">
            <v>Sander Soosaar</v>
          </cell>
          <cell r="C19">
            <v>931.09500000000014</v>
          </cell>
        </row>
        <row r="20">
          <cell r="B20" t="str">
            <v>Annika Männik</v>
          </cell>
          <cell r="C20">
            <v>1110.7800000000002</v>
          </cell>
        </row>
        <row r="21">
          <cell r="B21" t="str">
            <v>Andrei Kedrov</v>
          </cell>
          <cell r="C21">
            <v>1600.8300000000004</v>
          </cell>
        </row>
        <row r="22">
          <cell r="B22" t="str">
            <v>Kert Jürgenson</v>
          </cell>
          <cell r="C22">
            <v>816.75000000000011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9BC9-E510-4C99-BE95-9C8EF1F5EFEE}">
  <dimension ref="B3"/>
  <sheetViews>
    <sheetView showGridLines="0" tabSelected="1" workbookViewId="0"/>
  </sheetViews>
  <sheetFormatPr defaultRowHeight="14.5" x14ac:dyDescent="0.35"/>
  <sheetData>
    <row r="3" spans="2:2" ht="26" x14ac:dyDescent="0.35">
      <c r="B3" s="75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B1C7-B365-407F-ABCF-FCC857F3E07C}">
  <dimension ref="B4:F10"/>
  <sheetViews>
    <sheetView zoomScale="150" zoomScaleNormal="150" workbookViewId="0"/>
  </sheetViews>
  <sheetFormatPr defaultRowHeight="14.5" x14ac:dyDescent="0.35"/>
  <cols>
    <col min="2" max="2" width="14.54296875" customWidth="1"/>
    <col min="3" max="3" width="11.54296875" customWidth="1"/>
    <col min="4" max="4" width="34.26953125" bestFit="1" customWidth="1"/>
    <col min="5" max="5" width="25.54296875" customWidth="1"/>
    <col min="6" max="6" width="26.7265625" customWidth="1"/>
  </cols>
  <sheetData>
    <row r="4" spans="2:6" x14ac:dyDescent="0.35">
      <c r="C4" s="11" t="s">
        <v>171</v>
      </c>
      <c r="D4" s="11" t="s">
        <v>168</v>
      </c>
      <c r="E4" s="11" t="s">
        <v>169</v>
      </c>
      <c r="F4" s="11" t="s">
        <v>170</v>
      </c>
    </row>
    <row r="5" spans="2:6" x14ac:dyDescent="0.35">
      <c r="B5" t="s">
        <v>158</v>
      </c>
      <c r="C5" s="9"/>
      <c r="D5" s="16" t="s">
        <v>183</v>
      </c>
    </row>
    <row r="6" spans="2:6" x14ac:dyDescent="0.35">
      <c r="B6" t="s">
        <v>159</v>
      </c>
      <c r="C6" s="9"/>
      <c r="D6" s="16" t="s">
        <v>184</v>
      </c>
    </row>
    <row r="7" spans="2:6" x14ac:dyDescent="0.35">
      <c r="B7" t="s">
        <v>160</v>
      </c>
      <c r="C7" s="92"/>
      <c r="D7" s="16" t="s">
        <v>174</v>
      </c>
      <c r="E7" t="s">
        <v>175</v>
      </c>
      <c r="F7" t="s">
        <v>181</v>
      </c>
    </row>
    <row r="8" spans="2:6" x14ac:dyDescent="0.35">
      <c r="B8" t="s">
        <v>167</v>
      </c>
      <c r="C8" s="9"/>
      <c r="D8" s="16" t="s">
        <v>277</v>
      </c>
    </row>
    <row r="9" spans="2:6" x14ac:dyDescent="0.35">
      <c r="B9" t="s">
        <v>172</v>
      </c>
      <c r="C9" s="9"/>
      <c r="D9" s="16" t="s">
        <v>173</v>
      </c>
      <c r="E9" t="s">
        <v>176</v>
      </c>
      <c r="F9" t="s">
        <v>180</v>
      </c>
    </row>
    <row r="10" spans="2:6" x14ac:dyDescent="0.35">
      <c r="B10" t="s">
        <v>177</v>
      </c>
      <c r="C10" s="9"/>
      <c r="D10" s="16" t="s">
        <v>178</v>
      </c>
      <c r="E10" t="s">
        <v>179</v>
      </c>
      <c r="F10" t="s">
        <v>182</v>
      </c>
    </row>
  </sheetData>
  <sortState xmlns:xlrd2="http://schemas.microsoft.com/office/spreadsheetml/2017/richdata2" ref="J4:J9">
    <sortCondition ref="J6:J9"/>
  </sortState>
  <dataValidations count="7">
    <dataValidation type="whole" operator="greaterThan" allowBlank="1" showInputMessage="1" showErrorMessage="1" sqref="C5" xr:uid="{7A6C4FD5-E83B-4D58-8C8B-3CD983B9B368}">
      <formula1>0</formula1>
    </dataValidation>
    <dataValidation type="decimal" operator="greaterThan" allowBlank="1" showInputMessage="1" showErrorMessage="1" sqref="C6" xr:uid="{64CB5D18-2499-47C0-9511-05E1B46914DA}">
      <formula1>0</formula1>
    </dataValidation>
    <dataValidation type="date" allowBlank="1" showInputMessage="1" showErrorMessage="1" sqref="C7" xr:uid="{84B96029-1948-4E0E-BC98-C105949477A5}">
      <formula1>TODAY()</formula1>
      <formula2>TODAY()+30</formula2>
    </dataValidation>
    <dataValidation type="list" allowBlank="1" showInputMessage="1" showErrorMessage="1" sqref="C8" xr:uid="{C77F4BAE-AB3B-4456-A123-FFFA419E3A47}">
      <formula1>Valuutad</formula1>
    </dataValidation>
    <dataValidation type="custom" operator="equal" allowBlank="1" showInputMessage="1" showErrorMessage="1" sqref="C9" xr:uid="{FC36D2E9-B2C9-4CDF-8C4D-33C0DA4E440C}">
      <formula1>"mod(C9;2)=1"</formula1>
    </dataValidation>
    <dataValidation type="date" operator="equal" allowBlank="1" showInputMessage="1" showErrorMessage="1" sqref="J6" xr:uid="{7FE6CB43-5424-41FD-8B7A-25579B109DF2}">
      <formula1>WEEKDAY(C10,2)=1</formula1>
    </dataValidation>
    <dataValidation type="custom" operator="equal" allowBlank="1" showInputMessage="1" showErrorMessage="1" sqref="C10" xr:uid="{121CD4B8-8E65-4B02-8088-2C605E1B6992}">
      <formula1>WEEKDAY(C10,2)=7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0F22-81DB-454E-A22E-F234A3900BC4}">
  <dimension ref="B13:Q103"/>
  <sheetViews>
    <sheetView topLeftCell="B1" zoomScaleNormal="100" workbookViewId="0">
      <selection activeCell="B1" sqref="B1"/>
    </sheetView>
  </sheetViews>
  <sheetFormatPr defaultRowHeight="14.5" x14ac:dyDescent="0.35"/>
  <cols>
    <col min="2" max="2" width="16.453125" customWidth="1"/>
    <col min="3" max="3" width="17.453125" customWidth="1"/>
    <col min="5" max="5" width="12" customWidth="1"/>
    <col min="6" max="6" width="15.453125" customWidth="1"/>
    <col min="7" max="7" width="8" customWidth="1"/>
    <col min="12" max="12" width="4.453125" customWidth="1"/>
    <col min="13" max="13" width="19" customWidth="1"/>
    <col min="14" max="14" width="13.453125" bestFit="1" customWidth="1"/>
    <col min="15" max="15" width="13.7265625" bestFit="1" customWidth="1"/>
    <col min="17" max="17" width="9.81640625" bestFit="1" customWidth="1"/>
  </cols>
  <sheetData>
    <row r="13" spans="2:15" x14ac:dyDescent="0.35">
      <c r="G13" s="74" t="str">
        <f ca="1">IF(G16="","",_xlfn.FORMULATEXT(G16))</f>
        <v>=INDEX(Palk;MATCH(Amet;Amet_baas;0))</v>
      </c>
      <c r="H13" s="74" t="str">
        <f ca="1">IF(H16="","",_xlfn.FORMULATEXT(H16))</f>
        <v>=VLOOKUP(Amet;andmebaas;2;0)</v>
      </c>
      <c r="I13" s="74" t="str">
        <f ca="1">IF(I16="","",_xlfn.FORMULATEXT(I16))</f>
        <v>=XLOOKUP(Amet;Amet_baas;Palk;;0)</v>
      </c>
    </row>
    <row r="15" spans="2:15" x14ac:dyDescent="0.35">
      <c r="B15" s="10" t="s">
        <v>9</v>
      </c>
      <c r="C15" s="10" t="s">
        <v>155</v>
      </c>
      <c r="D15" s="10" t="s">
        <v>40</v>
      </c>
      <c r="E15" s="10" t="s">
        <v>43</v>
      </c>
      <c r="F15" s="10" t="s">
        <v>42</v>
      </c>
      <c r="G15" s="10" t="s">
        <v>41</v>
      </c>
      <c r="H15" s="10" t="s">
        <v>41</v>
      </c>
      <c r="I15" s="10" t="s">
        <v>41</v>
      </c>
      <c r="J15" s="10" t="s">
        <v>41</v>
      </c>
      <c r="K15" s="10"/>
    </row>
    <row r="16" spans="2:15" x14ac:dyDescent="0.35">
      <c r="B16" t="s">
        <v>103</v>
      </c>
      <c r="C16" s="14">
        <v>28363</v>
      </c>
      <c r="D16" t="s">
        <v>45</v>
      </c>
      <c r="E16" t="s">
        <v>54</v>
      </c>
      <c r="F16" t="s">
        <v>66</v>
      </c>
      <c r="G16" cm="1">
        <f t="array" ref="G16:G103">INDEX(Palk,MATCH(Amet,Amet_baas,0))</f>
        <v>1750</v>
      </c>
      <c r="H16" cm="1">
        <f t="array" ref="H16:H103">VLOOKUP(Amet,andmebaas,2,0)</f>
        <v>1750</v>
      </c>
      <c r="I16" cm="1">
        <f t="array" ref="I16:I103">_xlfn.XLOOKUP(Amet,Amet_baas,Palk,,0)</f>
        <v>1750</v>
      </c>
      <c r="J16" cm="1">
        <f t="array" ref="J16:J103">LOOKUP(Amet,Amet_baas,Palk)</f>
        <v>1750</v>
      </c>
      <c r="M16" s="74" t="str">
        <f ca="1">IF(M19="","",_xlfn.FORMULATEXT(M19))</f>
        <v>=LARGE(Sünniaeg;{1;2;3})</v>
      </c>
      <c r="N16" s="74" t="str">
        <f ca="1">IF(N19="","",_xlfn.FORMULATEXT(N19))</f>
        <v>=INDEX(Nimi;MATCH(Sünniaeg_noor;Sünniaeg;0))</v>
      </c>
      <c r="O16" s="74" t="str">
        <f ca="1">IF(O19="","",_xlfn.FORMULATEXT(O19))</f>
        <v>=INDEX(Amet;MATCH(Sünniaeg_noor;Sünniaeg;0))</v>
      </c>
    </row>
    <row r="17" spans="2:15" ht="16" x14ac:dyDescent="0.4">
      <c r="B17" t="s">
        <v>151</v>
      </c>
      <c r="C17" s="14">
        <v>30164</v>
      </c>
      <c r="D17" t="s">
        <v>52</v>
      </c>
      <c r="E17" t="s">
        <v>50</v>
      </c>
      <c r="F17" t="s">
        <v>53</v>
      </c>
      <c r="G17">
        <v>1740</v>
      </c>
      <c r="H17">
        <v>1740</v>
      </c>
      <c r="I17">
        <v>1740</v>
      </c>
      <c r="J17">
        <v>1740</v>
      </c>
      <c r="M17" s="15" t="s">
        <v>156</v>
      </c>
    </row>
    <row r="18" spans="2:15" x14ac:dyDescent="0.35">
      <c r="B18" t="s">
        <v>76</v>
      </c>
      <c r="C18" s="14">
        <v>27521</v>
      </c>
      <c r="D18" t="s">
        <v>52</v>
      </c>
      <c r="E18" t="s">
        <v>50</v>
      </c>
      <c r="F18" t="s">
        <v>75</v>
      </c>
      <c r="G18">
        <v>3150</v>
      </c>
      <c r="H18">
        <v>3150</v>
      </c>
      <c r="I18">
        <v>3150</v>
      </c>
      <c r="J18">
        <v>3150</v>
      </c>
      <c r="M18" s="11" t="s">
        <v>285</v>
      </c>
      <c r="N18" s="11" t="s">
        <v>9</v>
      </c>
      <c r="O18" s="11" t="s">
        <v>42</v>
      </c>
    </row>
    <row r="19" spans="2:15" x14ac:dyDescent="0.35">
      <c r="B19" t="s">
        <v>116</v>
      </c>
      <c r="C19" s="14">
        <v>24390</v>
      </c>
      <c r="D19" t="s">
        <v>45</v>
      </c>
      <c r="E19" t="s">
        <v>58</v>
      </c>
      <c r="F19" t="s">
        <v>57</v>
      </c>
      <c r="G19">
        <v>1380</v>
      </c>
      <c r="H19">
        <v>1380</v>
      </c>
      <c r="I19">
        <v>1380</v>
      </c>
      <c r="J19">
        <v>1380</v>
      </c>
      <c r="L19" s="11">
        <v>1</v>
      </c>
      <c r="M19" s="14" cm="1">
        <f t="array" ref="M19:M21">LARGE(Sünniaeg,{1;2;3})</f>
        <v>38517</v>
      </c>
      <c r="N19" t="str" cm="1">
        <f t="array" ref="N19:N21">INDEX(Nimi,MATCH(Sünniaeg_noor,Sünniaeg,0))</f>
        <v>Erna Eek</v>
      </c>
      <c r="O19" t="str" cm="1">
        <f t="array" ref="O19:O21">INDEX(Amet,MATCH(Sünniaeg_noor,Sünniaeg,0))</f>
        <v>sekretär</v>
      </c>
    </row>
    <row r="20" spans="2:15" x14ac:dyDescent="0.35">
      <c r="B20" t="s">
        <v>65</v>
      </c>
      <c r="C20" s="14">
        <v>30279</v>
      </c>
      <c r="D20" t="s">
        <v>45</v>
      </c>
      <c r="E20" t="s">
        <v>67</v>
      </c>
      <c r="F20" t="s">
        <v>66</v>
      </c>
      <c r="G20">
        <v>1750</v>
      </c>
      <c r="H20">
        <v>1750</v>
      </c>
      <c r="I20">
        <v>1750</v>
      </c>
      <c r="J20">
        <v>1750</v>
      </c>
      <c r="L20" s="11">
        <v>2</v>
      </c>
      <c r="M20" s="14">
        <v>38365</v>
      </c>
      <c r="N20" t="str">
        <v>Madis Paulus</v>
      </c>
      <c r="O20" t="str">
        <v>turvatöötaja</v>
      </c>
    </row>
    <row r="21" spans="2:15" x14ac:dyDescent="0.35">
      <c r="B21" t="s">
        <v>146</v>
      </c>
      <c r="C21" s="14">
        <v>31604</v>
      </c>
      <c r="D21" t="s">
        <v>52</v>
      </c>
      <c r="E21" t="s">
        <v>54</v>
      </c>
      <c r="F21" t="s">
        <v>75</v>
      </c>
      <c r="G21">
        <v>3150</v>
      </c>
      <c r="H21">
        <v>3150</v>
      </c>
      <c r="I21">
        <v>3150</v>
      </c>
      <c r="J21">
        <v>3150</v>
      </c>
      <c r="L21" s="11">
        <v>3</v>
      </c>
      <c r="M21" s="14">
        <v>38356</v>
      </c>
      <c r="N21" t="str">
        <v>Meelis Kalju</v>
      </c>
      <c r="O21" t="str">
        <v>tööline</v>
      </c>
    </row>
    <row r="22" spans="2:15" x14ac:dyDescent="0.35">
      <c r="B22" t="s">
        <v>48</v>
      </c>
      <c r="C22" s="14">
        <v>27969</v>
      </c>
      <c r="D22" t="s">
        <v>45</v>
      </c>
      <c r="E22" t="s">
        <v>50</v>
      </c>
      <c r="F22" t="s">
        <v>49</v>
      </c>
      <c r="G22">
        <v>2300</v>
      </c>
      <c r="H22">
        <v>2300</v>
      </c>
      <c r="I22">
        <v>2300</v>
      </c>
      <c r="J22">
        <v>2300</v>
      </c>
    </row>
    <row r="23" spans="2:15" x14ac:dyDescent="0.35">
      <c r="B23" t="s">
        <v>135</v>
      </c>
      <c r="C23" s="14">
        <v>31265</v>
      </c>
      <c r="D23" t="s">
        <v>45</v>
      </c>
      <c r="E23" t="s">
        <v>85</v>
      </c>
      <c r="F23" t="s">
        <v>82</v>
      </c>
      <c r="G23">
        <v>2670</v>
      </c>
      <c r="H23">
        <v>2670</v>
      </c>
      <c r="I23">
        <v>2670</v>
      </c>
      <c r="J23">
        <v>2670</v>
      </c>
    </row>
    <row r="24" spans="2:15" x14ac:dyDescent="0.35">
      <c r="B24" t="s">
        <v>111</v>
      </c>
      <c r="C24" s="14">
        <v>26122</v>
      </c>
      <c r="D24" t="s">
        <v>52</v>
      </c>
      <c r="E24" t="s">
        <v>63</v>
      </c>
      <c r="F24" t="s">
        <v>53</v>
      </c>
      <c r="G24">
        <v>1740</v>
      </c>
      <c r="H24">
        <v>1740</v>
      </c>
      <c r="I24">
        <v>1740</v>
      </c>
      <c r="J24">
        <v>1740</v>
      </c>
    </row>
    <row r="25" spans="2:15" x14ac:dyDescent="0.35">
      <c r="B25" t="s">
        <v>149</v>
      </c>
      <c r="C25" s="14">
        <v>29659</v>
      </c>
      <c r="D25" t="s">
        <v>52</v>
      </c>
      <c r="E25" t="s">
        <v>61</v>
      </c>
      <c r="F25" t="s">
        <v>49</v>
      </c>
      <c r="G25">
        <v>2300</v>
      </c>
      <c r="H25">
        <v>2300</v>
      </c>
      <c r="I25">
        <v>2300</v>
      </c>
      <c r="J25">
        <v>2300</v>
      </c>
      <c r="M25" s="74" t="str">
        <f ca="1">IF(M28="","",_xlfn.FORMULATEXT(M28))</f>
        <v>=SMALL(Sünniaeg;{1;2;3})</v>
      </c>
      <c r="N25" s="74" t="str">
        <f ca="1">IF(N28="","",_xlfn.FORMULATEXT(N28))</f>
        <v>=INDEX(Nimi;MATCH(Sünniaeg_vana;Sünniaeg;0))</v>
      </c>
      <c r="O25" s="74" t="str">
        <f ca="1">IF(O28="","",_xlfn.FORMULATEXT(O28))</f>
        <v>=INDEX(Amet;MATCH(Sünniaeg_vana;Sünniaeg;0))</v>
      </c>
    </row>
    <row r="26" spans="2:15" ht="16" x14ac:dyDescent="0.4">
      <c r="B26" t="s">
        <v>102</v>
      </c>
      <c r="C26" s="14">
        <v>30749</v>
      </c>
      <c r="D26" t="s">
        <v>52</v>
      </c>
      <c r="E26" t="s">
        <v>96</v>
      </c>
      <c r="F26" t="s">
        <v>53</v>
      </c>
      <c r="G26">
        <v>1740</v>
      </c>
      <c r="H26">
        <v>1740</v>
      </c>
      <c r="I26">
        <v>1740</v>
      </c>
      <c r="J26">
        <v>1740</v>
      </c>
      <c r="M26" s="15" t="s">
        <v>157</v>
      </c>
    </row>
    <row r="27" spans="2:15" x14ac:dyDescent="0.35">
      <c r="B27" t="s">
        <v>123</v>
      </c>
      <c r="C27" s="14">
        <v>30847</v>
      </c>
      <c r="D27" t="s">
        <v>45</v>
      </c>
      <c r="E27" t="s">
        <v>80</v>
      </c>
      <c r="F27" t="s">
        <v>53</v>
      </c>
      <c r="G27">
        <v>1740</v>
      </c>
      <c r="H27">
        <v>1740</v>
      </c>
      <c r="I27">
        <v>1740</v>
      </c>
      <c r="J27">
        <v>1740</v>
      </c>
      <c r="M27" s="11" t="s">
        <v>286</v>
      </c>
      <c r="N27" s="11" t="s">
        <v>9</v>
      </c>
      <c r="O27" s="11" t="s">
        <v>42</v>
      </c>
    </row>
    <row r="28" spans="2:15" x14ac:dyDescent="0.35">
      <c r="B28" t="s">
        <v>150</v>
      </c>
      <c r="C28" s="14">
        <v>33995</v>
      </c>
      <c r="D28" t="s">
        <v>52</v>
      </c>
      <c r="E28" t="s">
        <v>69</v>
      </c>
      <c r="F28" t="s">
        <v>57</v>
      </c>
      <c r="G28">
        <v>1380</v>
      </c>
      <c r="H28">
        <v>1380</v>
      </c>
      <c r="I28">
        <v>1380</v>
      </c>
      <c r="J28">
        <v>1380</v>
      </c>
      <c r="L28" s="11">
        <v>1</v>
      </c>
      <c r="M28" s="14" cm="1">
        <f t="array" ref="M28:M30">SMALL(Sünniaeg,{1;2;3})</f>
        <v>23293</v>
      </c>
      <c r="N28" t="str" cm="1">
        <f t="array" ref="N28:N30">INDEX(Nimi,MATCH(Sünniaeg_vana,Sünniaeg,0))</f>
        <v>Kristjan Jürimäe</v>
      </c>
      <c r="O28" t="str" cm="1">
        <f t="array" ref="O28:O30">INDEX(Amet,MATCH(Sünniaeg_vana,Sünniaeg,0))</f>
        <v>lukksepp</v>
      </c>
    </row>
    <row r="29" spans="2:15" x14ac:dyDescent="0.35">
      <c r="B29" t="s">
        <v>92</v>
      </c>
      <c r="C29" s="14">
        <v>23531</v>
      </c>
      <c r="D29" t="s">
        <v>52</v>
      </c>
      <c r="E29" t="s">
        <v>80</v>
      </c>
      <c r="F29" t="s">
        <v>53</v>
      </c>
      <c r="G29">
        <v>1740</v>
      </c>
      <c r="H29">
        <v>1740</v>
      </c>
      <c r="I29">
        <v>1740</v>
      </c>
      <c r="J29">
        <v>1740</v>
      </c>
      <c r="L29" s="11">
        <v>2</v>
      </c>
      <c r="M29" s="14">
        <v>23295</v>
      </c>
      <c r="N29" t="str">
        <v>Faina Kukk</v>
      </c>
      <c r="O29" t="str">
        <v>sekretär</v>
      </c>
    </row>
    <row r="30" spans="2:15" x14ac:dyDescent="0.35">
      <c r="B30" t="s">
        <v>132</v>
      </c>
      <c r="C30" s="14">
        <v>31304</v>
      </c>
      <c r="D30" t="s">
        <v>45</v>
      </c>
      <c r="E30" t="s">
        <v>61</v>
      </c>
      <c r="F30" t="s">
        <v>46</v>
      </c>
      <c r="G30">
        <v>1280</v>
      </c>
      <c r="H30">
        <v>1280</v>
      </c>
      <c r="I30">
        <v>1280</v>
      </c>
      <c r="J30">
        <v>1280</v>
      </c>
      <c r="L30" s="11">
        <v>3</v>
      </c>
      <c r="M30" s="14">
        <v>23360</v>
      </c>
      <c r="N30" t="str">
        <v>Marko Erikson</v>
      </c>
      <c r="O30" t="str">
        <v>raamatupidaja</v>
      </c>
    </row>
    <row r="31" spans="2:15" x14ac:dyDescent="0.35">
      <c r="B31" t="s">
        <v>99</v>
      </c>
      <c r="C31" s="14">
        <v>27727</v>
      </c>
      <c r="D31" t="s">
        <v>52</v>
      </c>
      <c r="E31" t="s">
        <v>73</v>
      </c>
      <c r="F31" t="s">
        <v>53</v>
      </c>
      <c r="G31">
        <v>1740</v>
      </c>
      <c r="H31">
        <v>1740</v>
      </c>
      <c r="I31">
        <v>1740</v>
      </c>
      <c r="J31">
        <v>1740</v>
      </c>
    </row>
    <row r="32" spans="2:15" x14ac:dyDescent="0.35">
      <c r="B32" t="s">
        <v>90</v>
      </c>
      <c r="C32" s="14">
        <v>27074</v>
      </c>
      <c r="D32" t="s">
        <v>52</v>
      </c>
      <c r="E32" t="s">
        <v>85</v>
      </c>
      <c r="F32" t="s">
        <v>75</v>
      </c>
      <c r="G32">
        <v>3150</v>
      </c>
      <c r="H32">
        <v>3150</v>
      </c>
      <c r="I32">
        <v>3150</v>
      </c>
      <c r="J32">
        <v>3150</v>
      </c>
    </row>
    <row r="33" spans="2:17" x14ac:dyDescent="0.35">
      <c r="B33" t="s">
        <v>115</v>
      </c>
      <c r="C33" s="14">
        <v>32980</v>
      </c>
      <c r="D33" t="s">
        <v>52</v>
      </c>
      <c r="E33" t="s">
        <v>71</v>
      </c>
      <c r="F33" t="s">
        <v>49</v>
      </c>
      <c r="G33">
        <v>2300</v>
      </c>
      <c r="H33">
        <v>2300</v>
      </c>
      <c r="I33">
        <v>2300</v>
      </c>
      <c r="J33">
        <v>2300</v>
      </c>
    </row>
    <row r="34" spans="2:17" x14ac:dyDescent="0.35">
      <c r="B34" t="s">
        <v>130</v>
      </c>
      <c r="C34" s="14">
        <v>31090</v>
      </c>
      <c r="D34" t="s">
        <v>45</v>
      </c>
      <c r="E34" t="s">
        <v>63</v>
      </c>
      <c r="F34" t="s">
        <v>66</v>
      </c>
      <c r="G34">
        <v>1750</v>
      </c>
      <c r="H34">
        <v>1750</v>
      </c>
      <c r="I34">
        <v>1750</v>
      </c>
      <c r="J34">
        <v>1750</v>
      </c>
      <c r="L34" s="73" t="s">
        <v>227</v>
      </c>
      <c r="M34" s="9">
        <f>AVERAGE(palk_analyys)</f>
        <v>1961.8181818181818</v>
      </c>
      <c r="N34" s="74" t="str">
        <f ca="1">IF(M34="","",_xlfn.FORMULATEXT(M34))</f>
        <v>=AVERAGE(palk_analyys)</v>
      </c>
    </row>
    <row r="35" spans="2:17" x14ac:dyDescent="0.35">
      <c r="B35" t="s">
        <v>128</v>
      </c>
      <c r="C35" s="14">
        <v>30708</v>
      </c>
      <c r="D35" t="s">
        <v>45</v>
      </c>
      <c r="E35" t="s">
        <v>47</v>
      </c>
      <c r="F35" t="s">
        <v>53</v>
      </c>
      <c r="G35">
        <v>1740</v>
      </c>
      <c r="H35">
        <v>1740</v>
      </c>
      <c r="I35">
        <v>1740</v>
      </c>
      <c r="J35">
        <v>1740</v>
      </c>
      <c r="L35" s="73" t="s">
        <v>228</v>
      </c>
      <c r="M35" s="9">
        <f>MEDIAN(palk_analyys)</f>
        <v>1750</v>
      </c>
      <c r="N35" s="74" t="str">
        <f ca="1">IF(M35="","",_xlfn.FORMULATEXT(M35))</f>
        <v>=MEDIAN(palk_analyys)</v>
      </c>
    </row>
    <row r="36" spans="2:17" x14ac:dyDescent="0.35">
      <c r="B36" t="s">
        <v>64</v>
      </c>
      <c r="C36" s="14">
        <v>27310</v>
      </c>
      <c r="D36" t="s">
        <v>52</v>
      </c>
      <c r="E36" t="s">
        <v>47</v>
      </c>
      <c r="F36" t="s">
        <v>49</v>
      </c>
      <c r="G36">
        <v>2300</v>
      </c>
      <c r="H36">
        <v>2300</v>
      </c>
      <c r="I36">
        <v>2300</v>
      </c>
      <c r="J36">
        <v>2300</v>
      </c>
      <c r="L36" s="73" t="s">
        <v>229</v>
      </c>
      <c r="Q36" s="11" t="s">
        <v>287</v>
      </c>
    </row>
    <row r="37" spans="2:17" x14ac:dyDescent="0.35">
      <c r="B37" t="s">
        <v>105</v>
      </c>
      <c r="C37" s="14">
        <v>37068</v>
      </c>
      <c r="D37" t="s">
        <v>52</v>
      </c>
      <c r="E37" t="s">
        <v>96</v>
      </c>
      <c r="F37" t="s">
        <v>79</v>
      </c>
      <c r="G37">
        <v>1800</v>
      </c>
      <c r="H37">
        <v>1800</v>
      </c>
      <c r="I37">
        <v>1800</v>
      </c>
      <c r="J37">
        <v>1800</v>
      </c>
      <c r="L37">
        <v>0</v>
      </c>
      <c r="M37">
        <f>_xlfn.QUARTILE.INC(palk_analyys,L37)</f>
        <v>1280</v>
      </c>
      <c r="N37" s="74" t="str">
        <f ca="1">IF(M37="","",_xlfn.FORMULATEXT(M37))</f>
        <v>=QUARTILE.INC(palk_analyys;L37)</v>
      </c>
      <c r="Q37">
        <f>COUNTIF(palk_analyys,"&gt;"&amp;kvartiil)</f>
        <v>81</v>
      </c>
    </row>
    <row r="38" spans="2:17" x14ac:dyDescent="0.35">
      <c r="B38" t="s">
        <v>144</v>
      </c>
      <c r="C38" s="14">
        <v>24986</v>
      </c>
      <c r="D38" t="s">
        <v>52</v>
      </c>
      <c r="E38" t="s">
        <v>50</v>
      </c>
      <c r="F38" t="s">
        <v>79</v>
      </c>
      <c r="G38">
        <v>1800</v>
      </c>
      <c r="H38">
        <v>1800</v>
      </c>
      <c r="I38">
        <v>1800</v>
      </c>
      <c r="J38">
        <v>1800</v>
      </c>
      <c r="L38">
        <v>1</v>
      </c>
      <c r="M38">
        <f>_xlfn.QUARTILE.INC(palk_analyys,L38)</f>
        <v>1740</v>
      </c>
      <c r="N38" s="74" t="str">
        <f ca="1">IF(M38="","",_xlfn.FORMULATEXT(M38))</f>
        <v>=QUARTILE.INC(palk_analyys;L38)</v>
      </c>
      <c r="Q38">
        <f>COUNTIF(palk_analyys,"&gt;"&amp;kvartiil)</f>
        <v>50</v>
      </c>
    </row>
    <row r="39" spans="2:17" x14ac:dyDescent="0.35">
      <c r="B39" t="s">
        <v>140</v>
      </c>
      <c r="C39" s="14">
        <v>38327</v>
      </c>
      <c r="D39" t="s">
        <v>52</v>
      </c>
      <c r="E39" t="s">
        <v>58</v>
      </c>
      <c r="F39" t="s">
        <v>82</v>
      </c>
      <c r="G39">
        <v>2670</v>
      </c>
      <c r="H39">
        <v>2670</v>
      </c>
      <c r="I39">
        <v>2670</v>
      </c>
      <c r="J39">
        <v>2670</v>
      </c>
      <c r="L39">
        <v>2</v>
      </c>
      <c r="M39">
        <f>_xlfn.QUARTILE.INC(palk_analyys,L39)</f>
        <v>1750</v>
      </c>
      <c r="N39" s="74" t="str">
        <f ca="1">IF(M39="","",_xlfn.FORMULATEXT(M39))</f>
        <v>=QUARTILE.INC(palk_analyys;L39)</v>
      </c>
      <c r="Q39">
        <f>COUNTIF(palk_analyys,"&gt;"&amp;kvartiil)</f>
        <v>37</v>
      </c>
    </row>
    <row r="40" spans="2:17" x14ac:dyDescent="0.35">
      <c r="B40" t="s">
        <v>137</v>
      </c>
      <c r="C40" s="14">
        <v>31471</v>
      </c>
      <c r="D40" t="s">
        <v>52</v>
      </c>
      <c r="E40" t="s">
        <v>63</v>
      </c>
      <c r="F40" t="s">
        <v>53</v>
      </c>
      <c r="G40">
        <v>1740</v>
      </c>
      <c r="H40">
        <v>1740</v>
      </c>
      <c r="I40">
        <v>1740</v>
      </c>
      <c r="J40">
        <v>1740</v>
      </c>
      <c r="L40">
        <v>3</v>
      </c>
      <c r="M40">
        <f>_xlfn.QUARTILE.INC(palk_analyys,L40)</f>
        <v>2300</v>
      </c>
      <c r="Q40">
        <f>COUNTIF(palk_analyys,"&gt;"&amp;kvartiil)</f>
        <v>15</v>
      </c>
    </row>
    <row r="41" spans="2:17" x14ac:dyDescent="0.35">
      <c r="B41" t="s">
        <v>124</v>
      </c>
      <c r="C41" s="14">
        <v>27042</v>
      </c>
      <c r="D41" t="s">
        <v>45</v>
      </c>
      <c r="E41" t="s">
        <v>50</v>
      </c>
      <c r="F41" t="s">
        <v>66</v>
      </c>
      <c r="G41">
        <v>1750</v>
      </c>
      <c r="H41">
        <v>1750</v>
      </c>
      <c r="I41">
        <v>1750</v>
      </c>
      <c r="J41">
        <v>1750</v>
      </c>
      <c r="L41">
        <v>4</v>
      </c>
      <c r="M41">
        <f>_xlfn.QUARTILE.INC(palk_analyys,L41)</f>
        <v>3150</v>
      </c>
      <c r="Q41">
        <f>COUNTIF(palk_analyys,"&gt;"&amp;kvartiil)</f>
        <v>0</v>
      </c>
    </row>
    <row r="42" spans="2:17" x14ac:dyDescent="0.35">
      <c r="B42" t="s">
        <v>51</v>
      </c>
      <c r="C42" s="14">
        <v>26286</v>
      </c>
      <c r="D42" t="s">
        <v>52</v>
      </c>
      <c r="E42" t="s">
        <v>54</v>
      </c>
      <c r="F42" t="s">
        <v>53</v>
      </c>
      <c r="G42">
        <v>1740</v>
      </c>
      <c r="H42">
        <v>1740</v>
      </c>
      <c r="I42">
        <v>1740</v>
      </c>
      <c r="J42">
        <v>1740</v>
      </c>
    </row>
    <row r="43" spans="2:17" x14ac:dyDescent="0.35">
      <c r="B43" t="s">
        <v>95</v>
      </c>
      <c r="C43" s="14">
        <v>27147</v>
      </c>
      <c r="D43" t="s">
        <v>52</v>
      </c>
      <c r="E43" t="s">
        <v>96</v>
      </c>
      <c r="F43" t="s">
        <v>79</v>
      </c>
      <c r="G43">
        <v>1800</v>
      </c>
      <c r="H43">
        <v>1800</v>
      </c>
      <c r="I43">
        <v>1800</v>
      </c>
      <c r="J43">
        <v>1800</v>
      </c>
    </row>
    <row r="44" spans="2:17" x14ac:dyDescent="0.35">
      <c r="B44" t="s">
        <v>97</v>
      </c>
      <c r="C44" s="14">
        <v>26788</v>
      </c>
      <c r="D44" t="s">
        <v>45</v>
      </c>
      <c r="E44" t="s">
        <v>80</v>
      </c>
      <c r="F44" t="s">
        <v>66</v>
      </c>
      <c r="G44">
        <v>1750</v>
      </c>
      <c r="H44">
        <v>1750</v>
      </c>
      <c r="I44">
        <v>1750</v>
      </c>
      <c r="J44">
        <v>1750</v>
      </c>
    </row>
    <row r="45" spans="2:17" x14ac:dyDescent="0.35">
      <c r="B45" t="s">
        <v>72</v>
      </c>
      <c r="C45" s="14">
        <v>32122</v>
      </c>
      <c r="D45" t="s">
        <v>52</v>
      </c>
      <c r="E45" t="s">
        <v>73</v>
      </c>
      <c r="F45" t="s">
        <v>49</v>
      </c>
      <c r="G45">
        <v>2300</v>
      </c>
      <c r="H45">
        <v>2300</v>
      </c>
      <c r="I45">
        <v>2300</v>
      </c>
      <c r="J45">
        <v>2300</v>
      </c>
    </row>
    <row r="46" spans="2:17" x14ac:dyDescent="0.35">
      <c r="B46" t="s">
        <v>84</v>
      </c>
      <c r="C46" s="14">
        <v>25123</v>
      </c>
      <c r="D46" t="s">
        <v>52</v>
      </c>
      <c r="E46" t="s">
        <v>85</v>
      </c>
      <c r="F46" t="s">
        <v>79</v>
      </c>
      <c r="G46">
        <v>1800</v>
      </c>
      <c r="H46">
        <v>1800</v>
      </c>
      <c r="I46">
        <v>1800</v>
      </c>
      <c r="J46">
        <v>1800</v>
      </c>
    </row>
    <row r="47" spans="2:17" x14ac:dyDescent="0.35">
      <c r="B47" t="s">
        <v>101</v>
      </c>
      <c r="C47" s="14">
        <v>23293</v>
      </c>
      <c r="D47" t="s">
        <v>52</v>
      </c>
      <c r="E47" t="s">
        <v>85</v>
      </c>
      <c r="F47" t="s">
        <v>79</v>
      </c>
      <c r="G47">
        <v>1800</v>
      </c>
      <c r="H47">
        <v>1800</v>
      </c>
      <c r="I47">
        <v>1800</v>
      </c>
      <c r="J47">
        <v>1800</v>
      </c>
    </row>
    <row r="48" spans="2:17" x14ac:dyDescent="0.35">
      <c r="B48" t="s">
        <v>108</v>
      </c>
      <c r="C48" s="14">
        <v>26896</v>
      </c>
      <c r="D48" t="s">
        <v>45</v>
      </c>
      <c r="E48" t="s">
        <v>47</v>
      </c>
      <c r="F48" t="s">
        <v>49</v>
      </c>
      <c r="G48">
        <v>2300</v>
      </c>
      <c r="H48">
        <v>2300</v>
      </c>
      <c r="I48">
        <v>2300</v>
      </c>
      <c r="J48">
        <v>2300</v>
      </c>
    </row>
    <row r="49" spans="2:10" x14ac:dyDescent="0.35">
      <c r="B49" t="s">
        <v>112</v>
      </c>
      <c r="C49" s="14">
        <v>31506</v>
      </c>
      <c r="D49" t="s">
        <v>52</v>
      </c>
      <c r="E49" t="s">
        <v>47</v>
      </c>
      <c r="F49" t="s">
        <v>79</v>
      </c>
      <c r="G49">
        <v>1800</v>
      </c>
      <c r="H49">
        <v>1800</v>
      </c>
      <c r="I49">
        <v>1800</v>
      </c>
      <c r="J49">
        <v>1800</v>
      </c>
    </row>
    <row r="50" spans="2:10" x14ac:dyDescent="0.35">
      <c r="B50" t="s">
        <v>74</v>
      </c>
      <c r="C50" s="14">
        <v>26983</v>
      </c>
      <c r="D50" t="s">
        <v>45</v>
      </c>
      <c r="E50" t="s">
        <v>61</v>
      </c>
      <c r="F50" t="s">
        <v>75</v>
      </c>
      <c r="G50">
        <v>3150</v>
      </c>
      <c r="H50">
        <v>3150</v>
      </c>
      <c r="I50">
        <v>3150</v>
      </c>
      <c r="J50">
        <v>3150</v>
      </c>
    </row>
    <row r="51" spans="2:10" x14ac:dyDescent="0.35">
      <c r="B51" t="s">
        <v>104</v>
      </c>
      <c r="C51" s="14">
        <v>30056</v>
      </c>
      <c r="D51" t="s">
        <v>45</v>
      </c>
      <c r="E51" t="s">
        <v>54</v>
      </c>
      <c r="F51" t="s">
        <v>66</v>
      </c>
      <c r="G51">
        <v>1750</v>
      </c>
      <c r="H51">
        <v>1750</v>
      </c>
      <c r="I51">
        <v>1750</v>
      </c>
      <c r="J51">
        <v>1750</v>
      </c>
    </row>
    <row r="52" spans="2:10" x14ac:dyDescent="0.35">
      <c r="B52" t="s">
        <v>87</v>
      </c>
      <c r="C52" s="14">
        <v>28034</v>
      </c>
      <c r="D52" t="s">
        <v>52</v>
      </c>
      <c r="E52" t="s">
        <v>61</v>
      </c>
      <c r="F52" t="s">
        <v>49</v>
      </c>
      <c r="G52">
        <v>2300</v>
      </c>
      <c r="H52">
        <v>2300</v>
      </c>
      <c r="I52">
        <v>2300</v>
      </c>
      <c r="J52">
        <v>2300</v>
      </c>
    </row>
    <row r="53" spans="2:10" x14ac:dyDescent="0.35">
      <c r="B53" t="s">
        <v>98</v>
      </c>
      <c r="C53" s="14">
        <v>29700</v>
      </c>
      <c r="D53" t="s">
        <v>52</v>
      </c>
      <c r="E53" t="s">
        <v>54</v>
      </c>
      <c r="F53" t="s">
        <v>53</v>
      </c>
      <c r="G53">
        <v>1740</v>
      </c>
      <c r="H53">
        <v>1740</v>
      </c>
      <c r="I53">
        <v>1740</v>
      </c>
      <c r="J53">
        <v>1740</v>
      </c>
    </row>
    <row r="54" spans="2:10" x14ac:dyDescent="0.35">
      <c r="B54" t="s">
        <v>55</v>
      </c>
      <c r="C54" s="14">
        <v>37664</v>
      </c>
      <c r="D54" t="s">
        <v>52</v>
      </c>
      <c r="E54" t="s">
        <v>47</v>
      </c>
      <c r="F54" t="s">
        <v>46</v>
      </c>
      <c r="G54">
        <v>1280</v>
      </c>
      <c r="H54">
        <v>1280</v>
      </c>
      <c r="I54">
        <v>1280</v>
      </c>
      <c r="J54">
        <v>1280</v>
      </c>
    </row>
    <row r="55" spans="2:10" x14ac:dyDescent="0.35">
      <c r="B55" t="s">
        <v>154</v>
      </c>
      <c r="C55" s="14">
        <v>25978</v>
      </c>
      <c r="D55" t="s">
        <v>52</v>
      </c>
      <c r="E55" t="s">
        <v>71</v>
      </c>
      <c r="F55" t="s">
        <v>49</v>
      </c>
      <c r="G55">
        <v>2300</v>
      </c>
      <c r="H55">
        <v>2300</v>
      </c>
      <c r="I55">
        <v>2300</v>
      </c>
      <c r="J55">
        <v>2300</v>
      </c>
    </row>
    <row r="56" spans="2:10" x14ac:dyDescent="0.35">
      <c r="B56" t="s">
        <v>145</v>
      </c>
      <c r="C56" s="14">
        <v>23295</v>
      </c>
      <c r="D56" t="s">
        <v>45</v>
      </c>
      <c r="E56" t="s">
        <v>96</v>
      </c>
      <c r="F56" t="s">
        <v>66</v>
      </c>
      <c r="G56">
        <v>1750</v>
      </c>
      <c r="H56">
        <v>1750</v>
      </c>
      <c r="I56">
        <v>1750</v>
      </c>
      <c r="J56">
        <v>1750</v>
      </c>
    </row>
    <row r="57" spans="2:10" x14ac:dyDescent="0.35">
      <c r="B57" t="s">
        <v>77</v>
      </c>
      <c r="C57" s="14">
        <v>25006</v>
      </c>
      <c r="D57" t="s">
        <v>52</v>
      </c>
      <c r="E57" t="s">
        <v>69</v>
      </c>
      <c r="F57" t="s">
        <v>49</v>
      </c>
      <c r="G57">
        <v>2300</v>
      </c>
      <c r="H57">
        <v>2300</v>
      </c>
      <c r="I57">
        <v>2300</v>
      </c>
      <c r="J57">
        <v>2300</v>
      </c>
    </row>
    <row r="58" spans="2:10" x14ac:dyDescent="0.35">
      <c r="B58" t="s">
        <v>139</v>
      </c>
      <c r="C58" s="14">
        <v>32004</v>
      </c>
      <c r="D58" t="s">
        <v>45</v>
      </c>
      <c r="E58" t="s">
        <v>69</v>
      </c>
      <c r="F58" t="s">
        <v>66</v>
      </c>
      <c r="G58">
        <v>1750</v>
      </c>
      <c r="H58">
        <v>1750</v>
      </c>
      <c r="I58">
        <v>1750</v>
      </c>
      <c r="J58">
        <v>1750</v>
      </c>
    </row>
    <row r="59" spans="2:10" x14ac:dyDescent="0.35">
      <c r="B59" t="s">
        <v>88</v>
      </c>
      <c r="C59" s="14">
        <v>29238</v>
      </c>
      <c r="D59" t="s">
        <v>45</v>
      </c>
      <c r="E59" t="s">
        <v>63</v>
      </c>
      <c r="F59" t="s">
        <v>53</v>
      </c>
      <c r="G59">
        <v>1740</v>
      </c>
      <c r="H59">
        <v>1740</v>
      </c>
      <c r="I59">
        <v>1740</v>
      </c>
      <c r="J59">
        <v>1740</v>
      </c>
    </row>
    <row r="60" spans="2:10" x14ac:dyDescent="0.35">
      <c r="B60" t="s">
        <v>106</v>
      </c>
      <c r="C60" s="14">
        <v>28717</v>
      </c>
      <c r="D60" t="s">
        <v>52</v>
      </c>
      <c r="E60" t="s">
        <v>47</v>
      </c>
      <c r="F60" t="s">
        <v>82</v>
      </c>
      <c r="G60">
        <v>2670</v>
      </c>
      <c r="H60">
        <v>2670</v>
      </c>
      <c r="I60">
        <v>2670</v>
      </c>
      <c r="J60">
        <v>2670</v>
      </c>
    </row>
    <row r="61" spans="2:10" x14ac:dyDescent="0.35">
      <c r="B61" t="s">
        <v>109</v>
      </c>
      <c r="C61" s="14">
        <v>28991</v>
      </c>
      <c r="D61" t="s">
        <v>52</v>
      </c>
      <c r="E61" t="s">
        <v>69</v>
      </c>
      <c r="F61" t="s">
        <v>53</v>
      </c>
      <c r="G61">
        <v>1740</v>
      </c>
      <c r="H61">
        <v>1740</v>
      </c>
      <c r="I61">
        <v>1740</v>
      </c>
      <c r="J61">
        <v>1740</v>
      </c>
    </row>
    <row r="62" spans="2:10" x14ac:dyDescent="0.35">
      <c r="B62" t="s">
        <v>125</v>
      </c>
      <c r="C62" s="14">
        <v>26329</v>
      </c>
      <c r="D62" t="s">
        <v>52</v>
      </c>
      <c r="E62" t="s">
        <v>61</v>
      </c>
      <c r="F62" t="s">
        <v>53</v>
      </c>
      <c r="G62">
        <v>1740</v>
      </c>
      <c r="H62">
        <v>1740</v>
      </c>
      <c r="I62">
        <v>1740</v>
      </c>
      <c r="J62">
        <v>1740</v>
      </c>
    </row>
    <row r="63" spans="2:10" x14ac:dyDescent="0.35">
      <c r="B63" t="s">
        <v>81</v>
      </c>
      <c r="C63" s="14">
        <v>23360</v>
      </c>
      <c r="D63" t="s">
        <v>52</v>
      </c>
      <c r="E63" t="s">
        <v>80</v>
      </c>
      <c r="F63" t="s">
        <v>82</v>
      </c>
      <c r="G63">
        <v>2670</v>
      </c>
      <c r="H63">
        <v>2670</v>
      </c>
      <c r="I63">
        <v>2670</v>
      </c>
      <c r="J63">
        <v>2670</v>
      </c>
    </row>
    <row r="64" spans="2:10" x14ac:dyDescent="0.35">
      <c r="B64" t="s">
        <v>114</v>
      </c>
      <c r="C64" s="14">
        <v>25277</v>
      </c>
      <c r="D64" t="s">
        <v>52</v>
      </c>
      <c r="E64" t="s">
        <v>85</v>
      </c>
      <c r="F64" t="s">
        <v>75</v>
      </c>
      <c r="G64">
        <v>3150</v>
      </c>
      <c r="H64">
        <v>3150</v>
      </c>
      <c r="I64">
        <v>3150</v>
      </c>
      <c r="J64">
        <v>3150</v>
      </c>
    </row>
    <row r="65" spans="2:10" x14ac:dyDescent="0.35">
      <c r="B65" t="s">
        <v>143</v>
      </c>
      <c r="C65" s="14">
        <v>28919</v>
      </c>
      <c r="D65" t="s">
        <v>52</v>
      </c>
      <c r="E65" t="s">
        <v>85</v>
      </c>
      <c r="F65" t="s">
        <v>53</v>
      </c>
      <c r="G65">
        <v>1740</v>
      </c>
      <c r="H65">
        <v>1740</v>
      </c>
      <c r="I65">
        <v>1740</v>
      </c>
      <c r="J65">
        <v>1740</v>
      </c>
    </row>
    <row r="66" spans="2:10" x14ac:dyDescent="0.35">
      <c r="B66" t="s">
        <v>107</v>
      </c>
      <c r="C66" s="14">
        <v>27127</v>
      </c>
      <c r="D66" t="s">
        <v>52</v>
      </c>
      <c r="E66" t="s">
        <v>58</v>
      </c>
      <c r="F66" t="s">
        <v>79</v>
      </c>
      <c r="G66">
        <v>1800</v>
      </c>
      <c r="H66">
        <v>1800</v>
      </c>
      <c r="I66">
        <v>1800</v>
      </c>
      <c r="J66">
        <v>1800</v>
      </c>
    </row>
    <row r="67" spans="2:10" x14ac:dyDescent="0.35">
      <c r="B67" t="s">
        <v>59</v>
      </c>
      <c r="C67" s="14">
        <v>28091</v>
      </c>
      <c r="D67" t="s">
        <v>52</v>
      </c>
      <c r="E67" t="s">
        <v>54</v>
      </c>
      <c r="F67" t="s">
        <v>53</v>
      </c>
      <c r="G67">
        <v>1740</v>
      </c>
      <c r="H67">
        <v>1740</v>
      </c>
      <c r="I67">
        <v>1740</v>
      </c>
      <c r="J67">
        <v>1740</v>
      </c>
    </row>
    <row r="68" spans="2:10" x14ac:dyDescent="0.35">
      <c r="B68" t="s">
        <v>122</v>
      </c>
      <c r="C68" s="14">
        <v>29493</v>
      </c>
      <c r="D68" t="s">
        <v>52</v>
      </c>
      <c r="E68" t="s">
        <v>47</v>
      </c>
      <c r="F68" t="s">
        <v>53</v>
      </c>
      <c r="G68">
        <v>1740</v>
      </c>
      <c r="H68">
        <v>1740</v>
      </c>
      <c r="I68">
        <v>1740</v>
      </c>
      <c r="J68">
        <v>1740</v>
      </c>
    </row>
    <row r="69" spans="2:10" x14ac:dyDescent="0.35">
      <c r="B69" t="s">
        <v>89</v>
      </c>
      <c r="C69" s="14">
        <v>38356</v>
      </c>
      <c r="D69" t="s">
        <v>52</v>
      </c>
      <c r="E69" t="s">
        <v>73</v>
      </c>
      <c r="F69" t="s">
        <v>53</v>
      </c>
      <c r="G69">
        <v>1740</v>
      </c>
      <c r="H69">
        <v>1740</v>
      </c>
      <c r="I69">
        <v>1740</v>
      </c>
      <c r="J69">
        <v>1740</v>
      </c>
    </row>
    <row r="70" spans="2:10" x14ac:dyDescent="0.35">
      <c r="B70" t="s">
        <v>78</v>
      </c>
      <c r="C70" s="14">
        <v>33122</v>
      </c>
      <c r="D70" t="s">
        <v>52</v>
      </c>
      <c r="E70" t="s">
        <v>80</v>
      </c>
      <c r="F70" t="s">
        <v>79</v>
      </c>
      <c r="G70">
        <v>1800</v>
      </c>
      <c r="H70">
        <v>1800</v>
      </c>
      <c r="I70">
        <v>1800</v>
      </c>
      <c r="J70">
        <v>1800</v>
      </c>
    </row>
    <row r="71" spans="2:10" x14ac:dyDescent="0.35">
      <c r="B71" t="s">
        <v>117</v>
      </c>
      <c r="C71" s="14">
        <v>30043</v>
      </c>
      <c r="D71" t="s">
        <v>52</v>
      </c>
      <c r="E71" t="s">
        <v>58</v>
      </c>
      <c r="F71" t="s">
        <v>53</v>
      </c>
      <c r="G71">
        <v>1740</v>
      </c>
      <c r="H71">
        <v>1740</v>
      </c>
      <c r="I71">
        <v>1740</v>
      </c>
      <c r="J71">
        <v>1740</v>
      </c>
    </row>
    <row r="72" spans="2:10" x14ac:dyDescent="0.35">
      <c r="B72" t="s">
        <v>70</v>
      </c>
      <c r="C72" s="14">
        <v>38517</v>
      </c>
      <c r="D72" t="s">
        <v>45</v>
      </c>
      <c r="E72" t="s">
        <v>71</v>
      </c>
      <c r="F72" t="s">
        <v>66</v>
      </c>
      <c r="G72">
        <v>1750</v>
      </c>
      <c r="H72">
        <v>1750</v>
      </c>
      <c r="I72">
        <v>1750</v>
      </c>
      <c r="J72">
        <v>1750</v>
      </c>
    </row>
    <row r="73" spans="2:10" x14ac:dyDescent="0.35">
      <c r="B73" t="s">
        <v>94</v>
      </c>
      <c r="C73" s="14">
        <v>37790</v>
      </c>
      <c r="D73" t="s">
        <v>45</v>
      </c>
      <c r="E73" t="s">
        <v>71</v>
      </c>
      <c r="F73" t="s">
        <v>46</v>
      </c>
      <c r="G73">
        <v>1280</v>
      </c>
      <c r="H73">
        <v>1280</v>
      </c>
      <c r="I73">
        <v>1280</v>
      </c>
      <c r="J73">
        <v>1280</v>
      </c>
    </row>
    <row r="74" spans="2:10" x14ac:dyDescent="0.35">
      <c r="B74" t="s">
        <v>68</v>
      </c>
      <c r="C74" s="14">
        <v>23570</v>
      </c>
      <c r="D74" t="s">
        <v>52</v>
      </c>
      <c r="E74" t="s">
        <v>69</v>
      </c>
      <c r="F74" t="s">
        <v>57</v>
      </c>
      <c r="G74">
        <v>1380</v>
      </c>
      <c r="H74">
        <v>1380</v>
      </c>
      <c r="I74">
        <v>1380</v>
      </c>
      <c r="J74">
        <v>1380</v>
      </c>
    </row>
    <row r="75" spans="2:10" x14ac:dyDescent="0.35">
      <c r="B75" t="s">
        <v>91</v>
      </c>
      <c r="C75" s="14">
        <v>27118</v>
      </c>
      <c r="D75" t="s">
        <v>52</v>
      </c>
      <c r="E75" t="s">
        <v>54</v>
      </c>
      <c r="F75" t="s">
        <v>53</v>
      </c>
      <c r="G75">
        <v>1740</v>
      </c>
      <c r="H75">
        <v>1740</v>
      </c>
      <c r="I75">
        <v>1740</v>
      </c>
      <c r="J75">
        <v>1740</v>
      </c>
    </row>
    <row r="76" spans="2:10" x14ac:dyDescent="0.35">
      <c r="B76" t="s">
        <v>131</v>
      </c>
      <c r="C76" s="14">
        <v>26311</v>
      </c>
      <c r="D76" t="s">
        <v>52</v>
      </c>
      <c r="E76" t="s">
        <v>63</v>
      </c>
      <c r="F76" t="s">
        <v>66</v>
      </c>
      <c r="G76">
        <v>1750</v>
      </c>
      <c r="H76">
        <v>1750</v>
      </c>
      <c r="I76">
        <v>1750</v>
      </c>
      <c r="J76">
        <v>1750</v>
      </c>
    </row>
    <row r="77" spans="2:10" x14ac:dyDescent="0.35">
      <c r="B77" t="s">
        <v>126</v>
      </c>
      <c r="C77" s="14">
        <v>27460</v>
      </c>
      <c r="D77" t="s">
        <v>52</v>
      </c>
      <c r="E77" t="s">
        <v>85</v>
      </c>
      <c r="F77" t="s">
        <v>49</v>
      </c>
      <c r="G77">
        <v>2300</v>
      </c>
      <c r="H77">
        <v>2300</v>
      </c>
      <c r="I77">
        <v>2300</v>
      </c>
      <c r="J77">
        <v>2300</v>
      </c>
    </row>
    <row r="78" spans="2:10" x14ac:dyDescent="0.35">
      <c r="B78" t="s">
        <v>93</v>
      </c>
      <c r="C78" s="14">
        <v>37212</v>
      </c>
      <c r="D78" t="s">
        <v>45</v>
      </c>
      <c r="E78" t="s">
        <v>69</v>
      </c>
      <c r="F78" t="s">
        <v>46</v>
      </c>
      <c r="G78">
        <v>1280</v>
      </c>
      <c r="H78">
        <v>1280</v>
      </c>
      <c r="I78">
        <v>1280</v>
      </c>
      <c r="J78">
        <v>1280</v>
      </c>
    </row>
    <row r="79" spans="2:10" x14ac:dyDescent="0.35">
      <c r="B79" t="s">
        <v>153</v>
      </c>
      <c r="C79" s="14">
        <v>27815</v>
      </c>
      <c r="D79" t="s">
        <v>45</v>
      </c>
      <c r="E79" t="s">
        <v>54</v>
      </c>
      <c r="F79" t="s">
        <v>82</v>
      </c>
      <c r="G79">
        <v>2670</v>
      </c>
      <c r="H79">
        <v>2670</v>
      </c>
      <c r="I79">
        <v>2670</v>
      </c>
      <c r="J79">
        <v>2670</v>
      </c>
    </row>
    <row r="80" spans="2:10" x14ac:dyDescent="0.35">
      <c r="B80" t="s">
        <v>127</v>
      </c>
      <c r="C80" s="14">
        <v>27630</v>
      </c>
      <c r="D80" t="s">
        <v>45</v>
      </c>
      <c r="E80" t="s">
        <v>69</v>
      </c>
      <c r="F80" t="s">
        <v>66</v>
      </c>
      <c r="G80">
        <v>1750</v>
      </c>
      <c r="H80">
        <v>1750</v>
      </c>
      <c r="I80">
        <v>1750</v>
      </c>
      <c r="J80">
        <v>1750</v>
      </c>
    </row>
    <row r="81" spans="2:10" x14ac:dyDescent="0.35">
      <c r="B81" t="s">
        <v>100</v>
      </c>
      <c r="C81" s="14">
        <v>27500</v>
      </c>
      <c r="D81" t="s">
        <v>52</v>
      </c>
      <c r="E81" t="s">
        <v>63</v>
      </c>
      <c r="F81" t="s">
        <v>53</v>
      </c>
      <c r="G81">
        <v>1740</v>
      </c>
      <c r="H81">
        <v>1740</v>
      </c>
      <c r="I81">
        <v>1740</v>
      </c>
      <c r="J81">
        <v>1740</v>
      </c>
    </row>
    <row r="82" spans="2:10" x14ac:dyDescent="0.35">
      <c r="B82" t="s">
        <v>148</v>
      </c>
      <c r="C82" s="14">
        <v>26497</v>
      </c>
      <c r="D82" t="s">
        <v>45</v>
      </c>
      <c r="E82" t="s">
        <v>50</v>
      </c>
      <c r="F82" t="s">
        <v>53</v>
      </c>
      <c r="G82">
        <v>1740</v>
      </c>
      <c r="H82">
        <v>1740</v>
      </c>
      <c r="I82">
        <v>1740</v>
      </c>
      <c r="J82">
        <v>1740</v>
      </c>
    </row>
    <row r="83" spans="2:10" x14ac:dyDescent="0.35">
      <c r="B83" t="s">
        <v>138</v>
      </c>
      <c r="C83" s="14">
        <v>27193</v>
      </c>
      <c r="D83" t="s">
        <v>52</v>
      </c>
      <c r="E83" t="s">
        <v>67</v>
      </c>
      <c r="F83" t="s">
        <v>53</v>
      </c>
      <c r="G83">
        <v>1740</v>
      </c>
      <c r="H83">
        <v>1740</v>
      </c>
      <c r="I83">
        <v>1740</v>
      </c>
      <c r="J83">
        <v>1740</v>
      </c>
    </row>
    <row r="84" spans="2:10" x14ac:dyDescent="0.35">
      <c r="B84" t="s">
        <v>129</v>
      </c>
      <c r="C84" s="14">
        <v>23535</v>
      </c>
      <c r="D84" t="s">
        <v>52</v>
      </c>
      <c r="E84" t="s">
        <v>71</v>
      </c>
      <c r="F84" t="s">
        <v>49</v>
      </c>
      <c r="G84">
        <v>2300</v>
      </c>
      <c r="H84">
        <v>2300</v>
      </c>
      <c r="I84">
        <v>2300</v>
      </c>
      <c r="J84">
        <v>2300</v>
      </c>
    </row>
    <row r="85" spans="2:10" x14ac:dyDescent="0.35">
      <c r="B85" t="s">
        <v>56</v>
      </c>
      <c r="C85" s="14">
        <v>35672</v>
      </c>
      <c r="D85" t="s">
        <v>52</v>
      </c>
      <c r="E85" t="s">
        <v>58</v>
      </c>
      <c r="F85" t="s">
        <v>57</v>
      </c>
      <c r="G85">
        <v>1380</v>
      </c>
      <c r="H85">
        <v>1380</v>
      </c>
      <c r="I85">
        <v>1380</v>
      </c>
      <c r="J85">
        <v>1380</v>
      </c>
    </row>
    <row r="86" spans="2:10" x14ac:dyDescent="0.35">
      <c r="B86" t="s">
        <v>113</v>
      </c>
      <c r="C86" s="14">
        <v>23649</v>
      </c>
      <c r="D86" t="s">
        <v>45</v>
      </c>
      <c r="E86" t="s">
        <v>96</v>
      </c>
      <c r="F86" t="s">
        <v>46</v>
      </c>
      <c r="G86">
        <v>1280</v>
      </c>
      <c r="H86">
        <v>1280</v>
      </c>
      <c r="I86">
        <v>1280</v>
      </c>
      <c r="J86">
        <v>1280</v>
      </c>
    </row>
    <row r="87" spans="2:10" x14ac:dyDescent="0.35">
      <c r="B87" t="s">
        <v>120</v>
      </c>
      <c r="C87" s="14">
        <v>26401</v>
      </c>
      <c r="D87" t="s">
        <v>52</v>
      </c>
      <c r="E87" t="s">
        <v>96</v>
      </c>
      <c r="F87" t="s">
        <v>75</v>
      </c>
      <c r="G87">
        <v>3150</v>
      </c>
      <c r="H87">
        <v>3150</v>
      </c>
      <c r="I87">
        <v>3150</v>
      </c>
      <c r="J87">
        <v>3150</v>
      </c>
    </row>
    <row r="88" spans="2:10" x14ac:dyDescent="0.35">
      <c r="B88" t="s">
        <v>121</v>
      </c>
      <c r="C88" s="14">
        <v>36865</v>
      </c>
      <c r="D88" t="s">
        <v>45</v>
      </c>
      <c r="E88" t="s">
        <v>63</v>
      </c>
      <c r="F88" t="s">
        <v>82</v>
      </c>
      <c r="G88">
        <v>2670</v>
      </c>
      <c r="H88">
        <v>2670</v>
      </c>
      <c r="I88">
        <v>2670</v>
      </c>
      <c r="J88">
        <v>2670</v>
      </c>
    </row>
    <row r="89" spans="2:10" x14ac:dyDescent="0.35">
      <c r="B89" t="s">
        <v>118</v>
      </c>
      <c r="C89" s="14">
        <v>24586</v>
      </c>
      <c r="D89" t="s">
        <v>52</v>
      </c>
      <c r="E89" t="s">
        <v>67</v>
      </c>
      <c r="F89" t="s">
        <v>49</v>
      </c>
      <c r="G89">
        <v>2300</v>
      </c>
      <c r="H89">
        <v>2300</v>
      </c>
      <c r="I89">
        <v>2300</v>
      </c>
      <c r="J89">
        <v>2300</v>
      </c>
    </row>
    <row r="90" spans="2:10" x14ac:dyDescent="0.35">
      <c r="B90" t="s">
        <v>136</v>
      </c>
      <c r="C90" s="14">
        <v>37529</v>
      </c>
      <c r="D90" t="s">
        <v>45</v>
      </c>
      <c r="E90" t="s">
        <v>61</v>
      </c>
      <c r="F90" t="s">
        <v>46</v>
      </c>
      <c r="G90">
        <v>1280</v>
      </c>
      <c r="H90">
        <v>1280</v>
      </c>
      <c r="I90">
        <v>1280</v>
      </c>
      <c r="J90">
        <v>1280</v>
      </c>
    </row>
    <row r="91" spans="2:10" x14ac:dyDescent="0.35">
      <c r="B91" t="s">
        <v>152</v>
      </c>
      <c r="C91" s="14">
        <v>30685</v>
      </c>
      <c r="D91" t="s">
        <v>52</v>
      </c>
      <c r="E91" t="s">
        <v>67</v>
      </c>
      <c r="F91" t="s">
        <v>79</v>
      </c>
      <c r="G91">
        <v>1800</v>
      </c>
      <c r="H91">
        <v>1800</v>
      </c>
      <c r="I91">
        <v>1800</v>
      </c>
      <c r="J91">
        <v>1800</v>
      </c>
    </row>
    <row r="92" spans="2:10" x14ac:dyDescent="0.35">
      <c r="B92" t="s">
        <v>110</v>
      </c>
      <c r="C92" s="14">
        <v>29892</v>
      </c>
      <c r="D92" t="s">
        <v>45</v>
      </c>
      <c r="E92" t="s">
        <v>47</v>
      </c>
      <c r="F92" t="s">
        <v>66</v>
      </c>
      <c r="G92">
        <v>1750</v>
      </c>
      <c r="H92">
        <v>1750</v>
      </c>
      <c r="I92">
        <v>1750</v>
      </c>
      <c r="J92">
        <v>1750</v>
      </c>
    </row>
    <row r="93" spans="2:10" x14ac:dyDescent="0.35">
      <c r="B93" t="s">
        <v>147</v>
      </c>
      <c r="C93" s="14">
        <v>28152</v>
      </c>
      <c r="D93" t="s">
        <v>52</v>
      </c>
      <c r="E93" t="s">
        <v>63</v>
      </c>
      <c r="F93" t="s">
        <v>53</v>
      </c>
      <c r="G93">
        <v>1740</v>
      </c>
      <c r="H93">
        <v>1740</v>
      </c>
      <c r="I93">
        <v>1740</v>
      </c>
      <c r="J93">
        <v>1740</v>
      </c>
    </row>
    <row r="94" spans="2:10" x14ac:dyDescent="0.35">
      <c r="B94" t="s">
        <v>62</v>
      </c>
      <c r="C94" s="14">
        <v>24923</v>
      </c>
      <c r="D94" t="s">
        <v>52</v>
      </c>
      <c r="E94" t="s">
        <v>63</v>
      </c>
      <c r="F94" t="s">
        <v>57</v>
      </c>
      <c r="G94">
        <v>1380</v>
      </c>
      <c r="H94">
        <v>1380</v>
      </c>
      <c r="I94">
        <v>1380</v>
      </c>
      <c r="J94">
        <v>1380</v>
      </c>
    </row>
    <row r="95" spans="2:10" x14ac:dyDescent="0.35">
      <c r="B95" t="s">
        <v>83</v>
      </c>
      <c r="C95" s="14">
        <v>28719</v>
      </c>
      <c r="D95" t="s">
        <v>45</v>
      </c>
      <c r="E95" t="s">
        <v>61</v>
      </c>
      <c r="F95" t="s">
        <v>82</v>
      </c>
      <c r="G95">
        <v>2670</v>
      </c>
      <c r="H95">
        <v>2670</v>
      </c>
      <c r="I95">
        <v>2670</v>
      </c>
      <c r="J95">
        <v>2670</v>
      </c>
    </row>
    <row r="96" spans="2:10" x14ac:dyDescent="0.35">
      <c r="B96" t="s">
        <v>86</v>
      </c>
      <c r="C96" s="14">
        <v>38365</v>
      </c>
      <c r="D96" t="s">
        <v>52</v>
      </c>
      <c r="E96" t="s">
        <v>50</v>
      </c>
      <c r="F96" t="s">
        <v>57</v>
      </c>
      <c r="G96">
        <v>1380</v>
      </c>
      <c r="H96">
        <v>1380</v>
      </c>
      <c r="I96">
        <v>1380</v>
      </c>
      <c r="J96">
        <v>1380</v>
      </c>
    </row>
    <row r="97" spans="2:10" x14ac:dyDescent="0.35">
      <c r="B97" t="s">
        <v>60</v>
      </c>
      <c r="C97" s="14">
        <v>29814</v>
      </c>
      <c r="D97" t="s">
        <v>52</v>
      </c>
      <c r="E97" t="s">
        <v>61</v>
      </c>
      <c r="F97" t="s">
        <v>53</v>
      </c>
      <c r="G97">
        <v>1740</v>
      </c>
      <c r="H97">
        <v>1740</v>
      </c>
      <c r="I97">
        <v>1740</v>
      </c>
      <c r="J97">
        <v>1740</v>
      </c>
    </row>
    <row r="98" spans="2:10" x14ac:dyDescent="0.35">
      <c r="B98" t="s">
        <v>142</v>
      </c>
      <c r="C98" s="14">
        <v>38287</v>
      </c>
      <c r="D98" t="s">
        <v>45</v>
      </c>
      <c r="E98" t="s">
        <v>63</v>
      </c>
      <c r="F98" t="s">
        <v>66</v>
      </c>
      <c r="G98">
        <v>1750</v>
      </c>
      <c r="H98">
        <v>1750</v>
      </c>
      <c r="I98">
        <v>1750</v>
      </c>
      <c r="J98">
        <v>1750</v>
      </c>
    </row>
    <row r="99" spans="2:10" x14ac:dyDescent="0.35">
      <c r="B99" t="s">
        <v>133</v>
      </c>
      <c r="C99" s="14">
        <v>26723</v>
      </c>
      <c r="D99" t="s">
        <v>45</v>
      </c>
      <c r="E99" t="s">
        <v>96</v>
      </c>
      <c r="F99" t="s">
        <v>75</v>
      </c>
      <c r="G99">
        <v>3150</v>
      </c>
      <c r="H99">
        <v>3150</v>
      </c>
      <c r="I99">
        <v>3150</v>
      </c>
      <c r="J99">
        <v>3150</v>
      </c>
    </row>
    <row r="100" spans="2:10" x14ac:dyDescent="0.35">
      <c r="B100" t="s">
        <v>134</v>
      </c>
      <c r="C100" s="14">
        <v>37799</v>
      </c>
      <c r="D100" t="s">
        <v>45</v>
      </c>
      <c r="E100" t="s">
        <v>67</v>
      </c>
      <c r="F100" t="s">
        <v>57</v>
      </c>
      <c r="G100">
        <v>1380</v>
      </c>
      <c r="H100">
        <v>1380</v>
      </c>
      <c r="I100">
        <v>1380</v>
      </c>
      <c r="J100">
        <v>1380</v>
      </c>
    </row>
    <row r="101" spans="2:10" x14ac:dyDescent="0.35">
      <c r="B101" t="s">
        <v>119</v>
      </c>
      <c r="C101" s="14">
        <v>27629</v>
      </c>
      <c r="D101" t="s">
        <v>45</v>
      </c>
      <c r="E101" t="s">
        <v>61</v>
      </c>
      <c r="F101" t="s">
        <v>82</v>
      </c>
      <c r="G101">
        <v>2670</v>
      </c>
      <c r="H101">
        <v>2670</v>
      </c>
      <c r="I101">
        <v>2670</v>
      </c>
      <c r="J101">
        <v>2670</v>
      </c>
    </row>
    <row r="102" spans="2:10" x14ac:dyDescent="0.35">
      <c r="B102" t="s">
        <v>141</v>
      </c>
      <c r="C102" s="14">
        <v>25775</v>
      </c>
      <c r="D102" t="s">
        <v>52</v>
      </c>
      <c r="E102" t="s">
        <v>54</v>
      </c>
      <c r="F102" t="s">
        <v>49</v>
      </c>
      <c r="G102">
        <v>2300</v>
      </c>
      <c r="H102">
        <v>2300</v>
      </c>
      <c r="I102">
        <v>2300</v>
      </c>
      <c r="J102">
        <v>2300</v>
      </c>
    </row>
    <row r="103" spans="2:10" x14ac:dyDescent="0.35">
      <c r="B103" t="s">
        <v>44</v>
      </c>
      <c r="C103" s="14">
        <v>36413</v>
      </c>
      <c r="D103" t="s">
        <v>45</v>
      </c>
      <c r="E103" t="s">
        <v>47</v>
      </c>
      <c r="F103" t="s">
        <v>46</v>
      </c>
      <c r="G103">
        <v>1280</v>
      </c>
      <c r="H103">
        <v>1280</v>
      </c>
      <c r="I103">
        <v>1280</v>
      </c>
      <c r="J103">
        <v>1280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0593-903A-4EF2-972E-898F92D7E7AB}">
  <dimension ref="B1:S30"/>
  <sheetViews>
    <sheetView zoomScale="140" zoomScaleNormal="140" workbookViewId="0"/>
  </sheetViews>
  <sheetFormatPr defaultRowHeight="14.5" x14ac:dyDescent="0.35"/>
  <cols>
    <col min="3" max="3" width="11.7265625" customWidth="1"/>
    <col min="13" max="13" width="15" customWidth="1"/>
    <col min="14" max="14" width="12.54296875" customWidth="1"/>
  </cols>
  <sheetData>
    <row r="1" spans="2:19" x14ac:dyDescent="0.35">
      <c r="K1" s="7" t="s">
        <v>315</v>
      </c>
      <c r="L1" s="7" t="s">
        <v>316</v>
      </c>
      <c r="N1" s="7" t="s">
        <v>317</v>
      </c>
      <c r="O1" s="7" t="s">
        <v>318</v>
      </c>
    </row>
    <row r="2" spans="2:19" x14ac:dyDescent="0.35">
      <c r="K2" s="8">
        <v>0</v>
      </c>
      <c r="L2" s="8">
        <v>0</v>
      </c>
      <c r="N2" s="9">
        <v>100</v>
      </c>
      <c r="O2" s="9">
        <v>5</v>
      </c>
    </row>
    <row r="3" spans="2:19" x14ac:dyDescent="0.35">
      <c r="K3" s="8">
        <v>51</v>
      </c>
      <c r="L3" s="8">
        <v>1</v>
      </c>
      <c r="N3" s="9">
        <v>90</v>
      </c>
      <c r="O3" s="9">
        <v>4</v>
      </c>
    </row>
    <row r="4" spans="2:19" x14ac:dyDescent="0.35">
      <c r="K4" s="8">
        <v>61</v>
      </c>
      <c r="L4" s="8">
        <v>2</v>
      </c>
      <c r="N4" s="9">
        <v>80</v>
      </c>
      <c r="O4" s="9">
        <v>3</v>
      </c>
    </row>
    <row r="5" spans="2:19" x14ac:dyDescent="0.35">
      <c r="K5" s="8">
        <v>71</v>
      </c>
      <c r="L5" s="8">
        <v>3</v>
      </c>
      <c r="N5" s="9">
        <v>70</v>
      </c>
      <c r="O5" s="9">
        <v>2</v>
      </c>
    </row>
    <row r="6" spans="2:19" x14ac:dyDescent="0.35">
      <c r="K6" s="8">
        <v>81</v>
      </c>
      <c r="L6" s="8">
        <v>4</v>
      </c>
      <c r="N6" s="9">
        <v>60</v>
      </c>
      <c r="O6" s="9">
        <v>1</v>
      </c>
    </row>
    <row r="7" spans="2:19" x14ac:dyDescent="0.35">
      <c r="K7" s="8">
        <v>91</v>
      </c>
      <c r="L7" s="8">
        <v>5</v>
      </c>
      <c r="N7" s="9">
        <v>50</v>
      </c>
      <c r="O7" s="9">
        <v>0</v>
      </c>
    </row>
    <row r="9" spans="2:19" x14ac:dyDescent="0.35">
      <c r="M9" s="9" t="s">
        <v>319</v>
      </c>
      <c r="N9" s="95">
        <f>AVERAGE(Koondhinne)</f>
        <v>3.1666666666666665</v>
      </c>
    </row>
    <row r="10" spans="2:19" x14ac:dyDescent="0.35">
      <c r="M10" s="9" t="s">
        <v>228</v>
      </c>
      <c r="N10" s="9">
        <f>MEDIAN(Koondhinne)</f>
        <v>3</v>
      </c>
    </row>
    <row r="11" spans="2:19" x14ac:dyDescent="0.35">
      <c r="M11" s="9" t="s">
        <v>320</v>
      </c>
      <c r="N11" s="9" cm="1">
        <f t="array" ref="N11">_xlfn.MODE.MULT(Koondhinne)</f>
        <v>3</v>
      </c>
      <c r="S11">
        <f>COUNTIF(I16:M16,"0")</f>
        <v>1</v>
      </c>
    </row>
    <row r="15" spans="2:19" x14ac:dyDescent="0.35">
      <c r="B15" s="9" t="s">
        <v>288</v>
      </c>
      <c r="C15" s="9" t="s">
        <v>9</v>
      </c>
      <c r="D15" s="9" t="s">
        <v>304</v>
      </c>
      <c r="E15" s="9" t="s">
        <v>305</v>
      </c>
      <c r="F15" s="9" t="s">
        <v>306</v>
      </c>
      <c r="G15" s="9" t="s">
        <v>307</v>
      </c>
      <c r="H15" s="9" t="s">
        <v>308</v>
      </c>
      <c r="I15" s="9" t="s">
        <v>309</v>
      </c>
      <c r="J15" s="9" t="s">
        <v>310</v>
      </c>
      <c r="K15" s="9" t="s">
        <v>311</v>
      </c>
      <c r="L15" s="9" t="s">
        <v>312</v>
      </c>
      <c r="M15" s="9" t="s">
        <v>313</v>
      </c>
      <c r="N15" s="9" t="s">
        <v>314</v>
      </c>
    </row>
    <row r="16" spans="2:19" x14ac:dyDescent="0.35">
      <c r="B16" s="9">
        <v>1</v>
      </c>
      <c r="C16" s="9" t="s">
        <v>289</v>
      </c>
      <c r="D16" s="100">
        <v>41</v>
      </c>
      <c r="E16" s="100">
        <v>73</v>
      </c>
      <c r="F16" s="100">
        <v>71</v>
      </c>
      <c r="G16" s="100">
        <v>70</v>
      </c>
      <c r="H16" s="100">
        <v>83</v>
      </c>
      <c r="I16" s="94" cm="1">
        <f t="array" ref="I16:I30">INDEX(Hinne_I,MATCH(KT1_,Punktid_I,1))</f>
        <v>0</v>
      </c>
      <c r="J16" s="94" cm="1">
        <f t="array" ref="J16:J30">INDEX(Hinne_II,MATCH(KT2_,Punktid_II,-1))</f>
        <v>3</v>
      </c>
      <c r="K16" s="9" cm="1">
        <f t="array" ref="K16:K30">VLOOKUP(KT3_,süsteem,2,TRUE)</f>
        <v>3</v>
      </c>
      <c r="L16" s="9" cm="1">
        <f t="array" ref="L16:L30">LOOKUP(KT4_,Punktid_I,Hinne_I)</f>
        <v>2</v>
      </c>
      <c r="M16" s="9" cm="1">
        <f t="array" ref="M16:M30">_xlfn.XLOOKUP(KT5_,Punktid_I,Hinne_I,,-1)</f>
        <v>4</v>
      </c>
      <c r="N16" s="9" t="str">
        <f>IF(COUNTIF(I16:M16,"0")&gt;0,"ei saa hinnata",ROUND(AVERAGE(I16:M16),0))</f>
        <v>ei saa hinnata</v>
      </c>
    </row>
    <row r="17" spans="2:14" x14ac:dyDescent="0.35">
      <c r="B17" s="9">
        <v>2</v>
      </c>
      <c r="C17" s="9" t="s">
        <v>290</v>
      </c>
      <c r="D17" s="100">
        <v>93</v>
      </c>
      <c r="E17" s="100">
        <v>99</v>
      </c>
      <c r="F17" s="100">
        <v>73</v>
      </c>
      <c r="G17" s="100">
        <v>55</v>
      </c>
      <c r="H17" s="100">
        <v>66</v>
      </c>
      <c r="I17" s="9">
        <v>5</v>
      </c>
      <c r="J17" s="9">
        <v>5</v>
      </c>
      <c r="K17" s="9">
        <v>3</v>
      </c>
      <c r="L17" s="9">
        <v>1</v>
      </c>
      <c r="M17" s="9">
        <v>2</v>
      </c>
      <c r="N17" s="9">
        <f t="shared" ref="N17:N30" si="0">IF(COUNTIF(I17:M17,"0")&gt;0,"ei saa hinnata",ROUND(AVERAGE(I17:M17),0))</f>
        <v>3</v>
      </c>
    </row>
    <row r="18" spans="2:14" x14ac:dyDescent="0.35">
      <c r="B18" s="9">
        <v>3</v>
      </c>
      <c r="C18" s="9" t="s">
        <v>291</v>
      </c>
      <c r="D18" s="100">
        <v>73</v>
      </c>
      <c r="E18" s="100">
        <v>68</v>
      </c>
      <c r="F18" s="100">
        <v>82</v>
      </c>
      <c r="G18" s="100">
        <v>93</v>
      </c>
      <c r="H18" s="100">
        <v>62</v>
      </c>
      <c r="I18" s="9">
        <v>3</v>
      </c>
      <c r="J18" s="9">
        <v>2</v>
      </c>
      <c r="K18" s="9">
        <v>4</v>
      </c>
      <c r="L18" s="9">
        <v>5</v>
      </c>
      <c r="M18" s="9">
        <v>2</v>
      </c>
      <c r="N18" s="9">
        <f t="shared" si="0"/>
        <v>3</v>
      </c>
    </row>
    <row r="19" spans="2:14" x14ac:dyDescent="0.35">
      <c r="B19" s="9">
        <v>4</v>
      </c>
      <c r="C19" s="9" t="s">
        <v>292</v>
      </c>
      <c r="D19" s="100">
        <v>63</v>
      </c>
      <c r="E19" s="100">
        <v>64</v>
      </c>
      <c r="F19" s="100">
        <v>49</v>
      </c>
      <c r="G19" s="100">
        <v>87</v>
      </c>
      <c r="H19" s="100">
        <v>82</v>
      </c>
      <c r="I19" s="9">
        <v>2</v>
      </c>
      <c r="J19" s="9">
        <v>2</v>
      </c>
      <c r="K19" s="9">
        <v>0</v>
      </c>
      <c r="L19" s="9">
        <v>4</v>
      </c>
      <c r="M19" s="9">
        <v>4</v>
      </c>
      <c r="N19" s="9" t="str">
        <f t="shared" si="0"/>
        <v>ei saa hinnata</v>
      </c>
    </row>
    <row r="20" spans="2:14" x14ac:dyDescent="0.35">
      <c r="B20" s="9">
        <v>5</v>
      </c>
      <c r="C20" s="9" t="s">
        <v>293</v>
      </c>
      <c r="D20" s="100">
        <v>55</v>
      </c>
      <c r="E20" s="100">
        <v>77</v>
      </c>
      <c r="F20" s="100">
        <v>41</v>
      </c>
      <c r="G20" s="100">
        <v>56</v>
      </c>
      <c r="H20" s="100">
        <v>46</v>
      </c>
      <c r="I20" s="9">
        <v>1</v>
      </c>
      <c r="J20" s="9">
        <v>3</v>
      </c>
      <c r="K20" s="9">
        <v>0</v>
      </c>
      <c r="L20" s="9">
        <v>1</v>
      </c>
      <c r="M20" s="9">
        <v>0</v>
      </c>
      <c r="N20" s="9" t="str">
        <f t="shared" si="0"/>
        <v>ei saa hinnata</v>
      </c>
    </row>
    <row r="21" spans="2:14" x14ac:dyDescent="0.35">
      <c r="B21" s="9">
        <v>6</v>
      </c>
      <c r="C21" s="9" t="s">
        <v>294</v>
      </c>
      <c r="D21" s="100">
        <v>47</v>
      </c>
      <c r="E21" s="100">
        <v>82</v>
      </c>
      <c r="F21" s="100">
        <v>77</v>
      </c>
      <c r="G21" s="100">
        <v>49</v>
      </c>
      <c r="H21" s="100">
        <v>79</v>
      </c>
      <c r="I21" s="9">
        <v>0</v>
      </c>
      <c r="J21" s="9">
        <v>4</v>
      </c>
      <c r="K21" s="9">
        <v>3</v>
      </c>
      <c r="L21" s="9">
        <v>0</v>
      </c>
      <c r="M21" s="9">
        <v>3</v>
      </c>
      <c r="N21" s="9" t="str">
        <f t="shared" si="0"/>
        <v>ei saa hinnata</v>
      </c>
    </row>
    <row r="22" spans="2:14" x14ac:dyDescent="0.35">
      <c r="B22" s="9">
        <v>7</v>
      </c>
      <c r="C22" s="9" t="s">
        <v>295</v>
      </c>
      <c r="D22" s="100">
        <v>65</v>
      </c>
      <c r="E22" s="100">
        <v>78</v>
      </c>
      <c r="F22" s="100">
        <v>41</v>
      </c>
      <c r="G22" s="100">
        <v>63</v>
      </c>
      <c r="H22" s="100">
        <v>95</v>
      </c>
      <c r="I22" s="9">
        <v>2</v>
      </c>
      <c r="J22" s="9">
        <v>3</v>
      </c>
      <c r="K22" s="9">
        <v>0</v>
      </c>
      <c r="L22" s="9">
        <v>2</v>
      </c>
      <c r="M22" s="9">
        <v>5</v>
      </c>
      <c r="N22" s="9" t="str">
        <f t="shared" si="0"/>
        <v>ei saa hinnata</v>
      </c>
    </row>
    <row r="23" spans="2:14" x14ac:dyDescent="0.35">
      <c r="B23" s="9">
        <v>8</v>
      </c>
      <c r="C23" s="9" t="s">
        <v>296</v>
      </c>
      <c r="D23" s="100">
        <v>93</v>
      </c>
      <c r="E23" s="100">
        <v>95</v>
      </c>
      <c r="F23" s="100">
        <v>81</v>
      </c>
      <c r="G23" s="100">
        <v>53</v>
      </c>
      <c r="H23" s="100">
        <v>93</v>
      </c>
      <c r="I23" s="9">
        <v>5</v>
      </c>
      <c r="J23" s="9">
        <v>5</v>
      </c>
      <c r="K23" s="9">
        <v>4</v>
      </c>
      <c r="L23" s="9">
        <v>1</v>
      </c>
      <c r="M23" s="9">
        <v>5</v>
      </c>
      <c r="N23" s="9">
        <f t="shared" si="0"/>
        <v>4</v>
      </c>
    </row>
    <row r="24" spans="2:14" x14ac:dyDescent="0.35">
      <c r="B24" s="9">
        <v>9</v>
      </c>
      <c r="C24" s="9" t="s">
        <v>297</v>
      </c>
      <c r="D24" s="100">
        <v>95</v>
      </c>
      <c r="E24" s="100">
        <v>60</v>
      </c>
      <c r="F24" s="100">
        <v>83</v>
      </c>
      <c r="G24" s="100">
        <v>83</v>
      </c>
      <c r="H24" s="100">
        <v>73</v>
      </c>
      <c r="I24" s="9">
        <v>5</v>
      </c>
      <c r="J24" s="9">
        <v>1</v>
      </c>
      <c r="K24" s="9">
        <v>4</v>
      </c>
      <c r="L24" s="9">
        <v>4</v>
      </c>
      <c r="M24" s="9">
        <v>3</v>
      </c>
      <c r="N24" s="9">
        <f t="shared" si="0"/>
        <v>3</v>
      </c>
    </row>
    <row r="25" spans="2:14" x14ac:dyDescent="0.35">
      <c r="B25" s="9">
        <v>10</v>
      </c>
      <c r="C25" s="9" t="s">
        <v>298</v>
      </c>
      <c r="D25" s="100">
        <v>72</v>
      </c>
      <c r="E25" s="100">
        <v>95</v>
      </c>
      <c r="F25" s="100">
        <v>44</v>
      </c>
      <c r="G25" s="100">
        <v>67</v>
      </c>
      <c r="H25" s="100">
        <v>79</v>
      </c>
      <c r="I25" s="9">
        <v>3</v>
      </c>
      <c r="J25" s="9">
        <v>5</v>
      </c>
      <c r="K25" s="9">
        <v>0</v>
      </c>
      <c r="L25" s="9">
        <v>2</v>
      </c>
      <c r="M25" s="9">
        <v>3</v>
      </c>
      <c r="N25" s="9" t="str">
        <f t="shared" si="0"/>
        <v>ei saa hinnata</v>
      </c>
    </row>
    <row r="26" spans="2:14" x14ac:dyDescent="0.35">
      <c r="B26" s="9">
        <v>11</v>
      </c>
      <c r="C26" s="9" t="s">
        <v>299</v>
      </c>
      <c r="D26" s="100">
        <v>48</v>
      </c>
      <c r="E26" s="100">
        <v>90</v>
      </c>
      <c r="F26" s="100">
        <v>92</v>
      </c>
      <c r="G26" s="100">
        <v>98</v>
      </c>
      <c r="H26" s="100">
        <v>48</v>
      </c>
      <c r="I26" s="9">
        <v>0</v>
      </c>
      <c r="J26" s="9">
        <v>4</v>
      </c>
      <c r="K26" s="9">
        <v>5</v>
      </c>
      <c r="L26" s="9">
        <v>5</v>
      </c>
      <c r="M26" s="9">
        <v>0</v>
      </c>
      <c r="N26" s="9" t="str">
        <f t="shared" si="0"/>
        <v>ei saa hinnata</v>
      </c>
    </row>
    <row r="27" spans="2:14" x14ac:dyDescent="0.35">
      <c r="B27" s="9">
        <v>12</v>
      </c>
      <c r="C27" s="9" t="s">
        <v>300</v>
      </c>
      <c r="D27" s="100">
        <v>81</v>
      </c>
      <c r="E27" s="100">
        <v>81</v>
      </c>
      <c r="F27" s="100">
        <v>79</v>
      </c>
      <c r="G27" s="100">
        <v>75</v>
      </c>
      <c r="H27" s="100">
        <v>72</v>
      </c>
      <c r="I27" s="9">
        <v>4</v>
      </c>
      <c r="J27" s="9">
        <v>4</v>
      </c>
      <c r="K27" s="9">
        <v>3</v>
      </c>
      <c r="L27" s="9">
        <v>3</v>
      </c>
      <c r="M27" s="9">
        <v>3</v>
      </c>
      <c r="N27" s="9">
        <f t="shared" si="0"/>
        <v>3</v>
      </c>
    </row>
    <row r="28" spans="2:14" x14ac:dyDescent="0.35">
      <c r="B28" s="9">
        <v>13</v>
      </c>
      <c r="C28" s="9" t="s">
        <v>301</v>
      </c>
      <c r="D28" s="100">
        <v>57</v>
      </c>
      <c r="E28" s="100">
        <v>52</v>
      </c>
      <c r="F28" s="100">
        <v>61</v>
      </c>
      <c r="G28" s="100">
        <v>77</v>
      </c>
      <c r="H28" s="100">
        <v>45</v>
      </c>
      <c r="I28" s="9">
        <v>1</v>
      </c>
      <c r="J28" s="9">
        <v>1</v>
      </c>
      <c r="K28" s="9">
        <v>2</v>
      </c>
      <c r="L28" s="9">
        <v>3</v>
      </c>
      <c r="M28" s="9">
        <v>0</v>
      </c>
      <c r="N28" s="9" t="str">
        <f t="shared" si="0"/>
        <v>ei saa hinnata</v>
      </c>
    </row>
    <row r="29" spans="2:14" x14ac:dyDescent="0.35">
      <c r="B29" s="9">
        <v>14</v>
      </c>
      <c r="C29" s="9" t="s">
        <v>302</v>
      </c>
      <c r="D29" s="100">
        <v>77</v>
      </c>
      <c r="E29" s="100">
        <v>96</v>
      </c>
      <c r="F29" s="100">
        <v>83</v>
      </c>
      <c r="G29" s="100">
        <v>61</v>
      </c>
      <c r="H29" s="100">
        <v>55</v>
      </c>
      <c r="I29" s="9">
        <v>3</v>
      </c>
      <c r="J29" s="9">
        <v>5</v>
      </c>
      <c r="K29" s="9">
        <v>4</v>
      </c>
      <c r="L29" s="9">
        <v>2</v>
      </c>
      <c r="M29" s="9">
        <v>1</v>
      </c>
      <c r="N29" s="9">
        <f t="shared" si="0"/>
        <v>3</v>
      </c>
    </row>
    <row r="30" spans="2:14" x14ac:dyDescent="0.35">
      <c r="B30" s="9">
        <v>15</v>
      </c>
      <c r="C30" s="9" t="s">
        <v>303</v>
      </c>
      <c r="D30" s="100">
        <v>84</v>
      </c>
      <c r="E30" s="100">
        <v>62</v>
      </c>
      <c r="F30" s="100">
        <v>41</v>
      </c>
      <c r="G30" s="100">
        <v>57</v>
      </c>
      <c r="H30" s="100">
        <v>98</v>
      </c>
      <c r="I30" s="9">
        <v>4</v>
      </c>
      <c r="J30" s="9">
        <v>2</v>
      </c>
      <c r="K30" s="9">
        <v>0</v>
      </c>
      <c r="L30" s="9">
        <v>1</v>
      </c>
      <c r="M30" s="9">
        <v>5</v>
      </c>
      <c r="N30" s="9" t="str">
        <f t="shared" si="0"/>
        <v>ei saa hinnata</v>
      </c>
    </row>
  </sheetData>
  <phoneticPr fontId="28" type="noConversion"/>
  <conditionalFormatting sqref="N16:N3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EBF0-5FF3-4A5D-B166-0D9FD04B6064}">
  <dimension ref="M16:P40"/>
  <sheetViews>
    <sheetView workbookViewId="0"/>
  </sheetViews>
  <sheetFormatPr defaultRowHeight="14.5" x14ac:dyDescent="0.35"/>
  <cols>
    <col min="13" max="13" width="15.453125" customWidth="1"/>
    <col min="15" max="15" width="15.54296875" customWidth="1"/>
    <col min="16" max="16" width="12" customWidth="1"/>
  </cols>
  <sheetData>
    <row r="16" spans="13:16" x14ac:dyDescent="0.35">
      <c r="M16" s="10" t="s">
        <v>42</v>
      </c>
      <c r="N16" s="11" t="s">
        <v>224</v>
      </c>
      <c r="O16" s="11" t="s">
        <v>226</v>
      </c>
      <c r="P16" s="11" t="s">
        <v>225</v>
      </c>
    </row>
    <row r="17" spans="13:15" x14ac:dyDescent="0.35">
      <c r="M17" t="s">
        <v>49</v>
      </c>
    </row>
    <row r="18" spans="13:15" x14ac:dyDescent="0.35">
      <c r="M18" t="s">
        <v>75</v>
      </c>
    </row>
    <row r="19" spans="13:15" x14ac:dyDescent="0.35">
      <c r="M19" t="s">
        <v>46</v>
      </c>
    </row>
    <row r="20" spans="13:15" x14ac:dyDescent="0.35">
      <c r="M20" t="s">
        <v>79</v>
      </c>
    </row>
    <row r="21" spans="13:15" x14ac:dyDescent="0.35">
      <c r="M21" t="s">
        <v>82</v>
      </c>
    </row>
    <row r="22" spans="13:15" x14ac:dyDescent="0.35">
      <c r="M22" t="s">
        <v>66</v>
      </c>
    </row>
    <row r="23" spans="13:15" x14ac:dyDescent="0.35">
      <c r="M23" t="s">
        <v>57</v>
      </c>
    </row>
    <row r="24" spans="13:15" x14ac:dyDescent="0.35">
      <c r="M24" t="s">
        <v>53</v>
      </c>
    </row>
    <row r="27" spans="13:15" x14ac:dyDescent="0.35">
      <c r="M27" s="10" t="s">
        <v>43</v>
      </c>
      <c r="N27" s="11" t="s">
        <v>45</v>
      </c>
      <c r="O27" s="11" t="s">
        <v>52</v>
      </c>
    </row>
    <row r="28" spans="13:15" x14ac:dyDescent="0.35">
      <c r="M28" t="s">
        <v>80</v>
      </c>
    </row>
    <row r="29" spans="13:15" x14ac:dyDescent="0.35">
      <c r="M29" t="s">
        <v>73</v>
      </c>
    </row>
    <row r="30" spans="13:15" x14ac:dyDescent="0.35">
      <c r="M30" t="s">
        <v>58</v>
      </c>
    </row>
    <row r="31" spans="13:15" x14ac:dyDescent="0.35">
      <c r="M31" t="s">
        <v>67</v>
      </c>
    </row>
    <row r="32" spans="13:15" x14ac:dyDescent="0.35">
      <c r="M32" t="s">
        <v>61</v>
      </c>
    </row>
    <row r="33" spans="13:13" x14ac:dyDescent="0.35">
      <c r="M33" t="s">
        <v>96</v>
      </c>
    </row>
    <row r="34" spans="13:13" x14ac:dyDescent="0.35">
      <c r="M34" t="s">
        <v>71</v>
      </c>
    </row>
    <row r="35" spans="13:13" x14ac:dyDescent="0.35">
      <c r="M35" t="s">
        <v>54</v>
      </c>
    </row>
    <row r="36" spans="13:13" x14ac:dyDescent="0.35">
      <c r="M36" t="s">
        <v>69</v>
      </c>
    </row>
    <row r="37" spans="13:13" x14ac:dyDescent="0.35">
      <c r="M37" t="s">
        <v>63</v>
      </c>
    </row>
    <row r="38" spans="13:13" x14ac:dyDescent="0.35">
      <c r="M38" t="s">
        <v>47</v>
      </c>
    </row>
    <row r="39" spans="13:13" x14ac:dyDescent="0.35">
      <c r="M39" t="s">
        <v>85</v>
      </c>
    </row>
    <row r="40" spans="13:13" x14ac:dyDescent="0.35">
      <c r="M40" t="s">
        <v>50</v>
      </c>
    </row>
  </sheetData>
  <sortState xmlns:xlrd2="http://schemas.microsoft.com/office/spreadsheetml/2017/richdata2" ref="M17:M24">
    <sortCondition ref="M19:M24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A983-2674-4BF8-9CC3-A12E28234FFF}">
  <dimension ref="A2:Q27"/>
  <sheetViews>
    <sheetView zoomScale="170" zoomScaleNormal="170" workbookViewId="0">
      <selection activeCell="J6" sqref="J6"/>
    </sheetView>
  </sheetViews>
  <sheetFormatPr defaultColWidth="9.1796875" defaultRowHeight="12.5" x14ac:dyDescent="0.25"/>
  <cols>
    <col min="1" max="1" width="7.81640625" style="5" bestFit="1" customWidth="1"/>
    <col min="2" max="2" width="7.81640625" style="5" customWidth="1"/>
    <col min="3" max="3" width="8.26953125" style="5" customWidth="1"/>
    <col min="4" max="4" width="11.81640625" style="5" customWidth="1"/>
    <col min="5" max="5" width="18" style="5" customWidth="1"/>
    <col min="6" max="7" width="4.26953125" style="5" customWidth="1"/>
    <col min="8" max="8" width="8.81640625" style="5" bestFit="1" customWidth="1"/>
    <col min="9" max="9" width="13.453125" style="5" customWidth="1"/>
    <col min="10" max="10" width="9.1796875" style="5" customWidth="1"/>
    <col min="11" max="11" width="11.453125" style="5" customWidth="1"/>
    <col min="12" max="13" width="4.81640625" style="5" customWidth="1"/>
    <col min="14" max="14" width="7.453125" style="5" bestFit="1" customWidth="1"/>
    <col min="15" max="15" width="11.81640625" style="5" customWidth="1"/>
    <col min="16" max="16" width="7.453125" style="5" customWidth="1"/>
    <col min="17" max="17" width="11.453125" style="5" customWidth="1"/>
    <col min="18" max="16384" width="9.1796875" style="5"/>
  </cols>
  <sheetData>
    <row r="2" spans="1:17" s="1" customFormat="1" ht="14" x14ac:dyDescent="0.3">
      <c r="A2" s="1" t="s">
        <v>0</v>
      </c>
      <c r="H2" s="1" t="s">
        <v>1</v>
      </c>
      <c r="N2" s="1" t="s">
        <v>2</v>
      </c>
    </row>
    <row r="4" spans="1:17" s="3" customFormat="1" ht="26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N4" s="2" t="s">
        <v>12</v>
      </c>
      <c r="O4" s="2" t="s">
        <v>13</v>
      </c>
      <c r="P4" s="2" t="s">
        <v>10</v>
      </c>
      <c r="Q4" s="2" t="s">
        <v>11</v>
      </c>
    </row>
    <row r="5" spans="1:17" x14ac:dyDescent="0.25">
      <c r="A5" s="4" t="s">
        <v>14</v>
      </c>
      <c r="B5" s="4" t="s">
        <v>15</v>
      </c>
      <c r="C5" s="4">
        <v>5</v>
      </c>
      <c r="D5" s="4" t="str" cm="1">
        <f t="array" ref="D5:D27">INDEX(Nimetus,MATCH(Aine,A_kood,0))</f>
        <v>matemaatika</v>
      </c>
      <c r="E5" s="4" t="str" cm="1">
        <f t="array" ref="E5:E27">INDEX(Nimi,MATCH(Õppur,Õ_kood,0))</f>
        <v>Piia Kass</v>
      </c>
      <c r="H5" s="6" t="s">
        <v>16</v>
      </c>
      <c r="I5" s="6" t="s">
        <v>17</v>
      </c>
      <c r="J5" s="6" cm="1">
        <f t="array" ref="J5:J14">COUNTIF(Õppur,Õ_kood)</f>
        <v>3</v>
      </c>
      <c r="K5" s="96" cm="1">
        <f t="array" ref="K5:K14">AVERAGEIF(Õppuri_nimi,Nimi,Hinne)</f>
        <v>4.333333333333333</v>
      </c>
      <c r="N5" s="6" t="s">
        <v>14</v>
      </c>
      <c r="O5" s="6" t="s">
        <v>18</v>
      </c>
      <c r="P5" s="6" cm="1">
        <f t="array" ref="P5:P7">COUNTIF(Aine_nimetus,Nimetus)</f>
        <v>7</v>
      </c>
      <c r="Q5" s="96" cm="1">
        <f t="array" ref="Q5:Q7">AVERAGEIF(Aine_nimetus,Nimetus,Hinne)</f>
        <v>3.8571428571428572</v>
      </c>
    </row>
    <row r="6" spans="1:17" x14ac:dyDescent="0.25">
      <c r="A6" s="4" t="s">
        <v>19</v>
      </c>
      <c r="B6" s="4" t="s">
        <v>15</v>
      </c>
      <c r="C6" s="4">
        <v>5</v>
      </c>
      <c r="D6" s="4" t="str">
        <v>inglise keel</v>
      </c>
      <c r="E6" s="4" t="str">
        <v>Piia Kass</v>
      </c>
      <c r="H6" s="6" t="s">
        <v>20</v>
      </c>
      <c r="I6" s="6" t="s">
        <v>21</v>
      </c>
      <c r="J6" s="6">
        <v>3</v>
      </c>
      <c r="K6" s="96">
        <v>4.333333333333333</v>
      </c>
      <c r="N6" s="6" t="s">
        <v>22</v>
      </c>
      <c r="O6" s="6" t="s">
        <v>23</v>
      </c>
      <c r="P6" s="6">
        <v>7</v>
      </c>
      <c r="Q6" s="96">
        <v>4</v>
      </c>
    </row>
    <row r="7" spans="1:17" x14ac:dyDescent="0.25">
      <c r="A7" s="4" t="s">
        <v>14</v>
      </c>
      <c r="B7" s="4" t="s">
        <v>24</v>
      </c>
      <c r="C7" s="4">
        <v>4</v>
      </c>
      <c r="D7" s="4" t="str">
        <v>matemaatika</v>
      </c>
      <c r="E7" s="4" t="str">
        <v>Tanel Lepp</v>
      </c>
      <c r="H7" s="6" t="s">
        <v>24</v>
      </c>
      <c r="I7" s="6" t="s">
        <v>25</v>
      </c>
      <c r="J7" s="6">
        <v>3</v>
      </c>
      <c r="K7" s="96">
        <v>3.6666666666666665</v>
      </c>
      <c r="N7" s="6" t="s">
        <v>19</v>
      </c>
      <c r="O7" s="6" t="s">
        <v>26</v>
      </c>
      <c r="P7" s="6">
        <v>9</v>
      </c>
      <c r="Q7" s="96">
        <v>3.8888888888888888</v>
      </c>
    </row>
    <row r="8" spans="1:17" x14ac:dyDescent="0.25">
      <c r="A8" s="4" t="s">
        <v>14</v>
      </c>
      <c r="B8" s="4" t="s">
        <v>27</v>
      </c>
      <c r="C8" s="4">
        <v>4</v>
      </c>
      <c r="D8" s="4" t="str">
        <v>matemaatika</v>
      </c>
      <c r="E8" s="4" t="str">
        <v>Kerly Rand</v>
      </c>
      <c r="H8" s="6" t="s">
        <v>15</v>
      </c>
      <c r="I8" s="6" t="s">
        <v>28</v>
      </c>
      <c r="J8" s="6">
        <v>2</v>
      </c>
      <c r="K8" s="96">
        <v>5</v>
      </c>
    </row>
    <row r="9" spans="1:17" x14ac:dyDescent="0.25">
      <c r="A9" s="4" t="s">
        <v>14</v>
      </c>
      <c r="B9" s="4" t="s">
        <v>29</v>
      </c>
      <c r="C9" s="4">
        <v>3</v>
      </c>
      <c r="D9" s="4" t="str">
        <v>matemaatika</v>
      </c>
      <c r="E9" s="4" t="str">
        <v>Tiina Laev</v>
      </c>
      <c r="H9" s="6" t="s">
        <v>30</v>
      </c>
      <c r="I9" s="6" t="s">
        <v>31</v>
      </c>
      <c r="J9" s="6">
        <v>2</v>
      </c>
      <c r="K9" s="96">
        <v>3.5</v>
      </c>
    </row>
    <row r="10" spans="1:17" x14ac:dyDescent="0.25">
      <c r="A10" s="4" t="s">
        <v>19</v>
      </c>
      <c r="B10" s="4" t="s">
        <v>32</v>
      </c>
      <c r="C10" s="4">
        <v>4</v>
      </c>
      <c r="D10" s="4" t="str">
        <v>inglise keel</v>
      </c>
      <c r="E10" s="4" t="str">
        <v>Tanel Kastan</v>
      </c>
      <c r="H10" s="6" t="s">
        <v>33</v>
      </c>
      <c r="I10" s="6" t="s">
        <v>34</v>
      </c>
      <c r="J10" s="6">
        <v>1</v>
      </c>
      <c r="K10" s="96">
        <v>3</v>
      </c>
    </row>
    <row r="11" spans="1:17" x14ac:dyDescent="0.25">
      <c r="A11" s="4" t="s">
        <v>19</v>
      </c>
      <c r="B11" s="4" t="s">
        <v>16</v>
      </c>
      <c r="C11" s="4">
        <v>4</v>
      </c>
      <c r="D11" s="4" t="str">
        <v>inglise keel</v>
      </c>
      <c r="E11" s="4" t="str">
        <v>Karl Karu</v>
      </c>
      <c r="H11" s="6" t="s">
        <v>27</v>
      </c>
      <c r="I11" s="6" t="s">
        <v>35</v>
      </c>
      <c r="J11" s="6">
        <v>3</v>
      </c>
      <c r="K11" s="96">
        <v>4.333333333333333</v>
      </c>
    </row>
    <row r="12" spans="1:17" x14ac:dyDescent="0.25">
      <c r="A12" s="4" t="s">
        <v>22</v>
      </c>
      <c r="B12" s="4" t="s">
        <v>30</v>
      </c>
      <c r="C12" s="4">
        <v>4</v>
      </c>
      <c r="D12" s="4" t="str">
        <v>eesti keel</v>
      </c>
      <c r="E12" s="4" t="str">
        <v>Ester Rebane</v>
      </c>
      <c r="H12" s="6" t="s">
        <v>32</v>
      </c>
      <c r="I12" s="6" t="s">
        <v>36</v>
      </c>
      <c r="J12" s="6">
        <v>1</v>
      </c>
      <c r="K12" s="96">
        <v>4</v>
      </c>
    </row>
    <row r="13" spans="1:17" x14ac:dyDescent="0.25">
      <c r="A13" s="4" t="s">
        <v>14</v>
      </c>
      <c r="B13" s="4" t="s">
        <v>33</v>
      </c>
      <c r="C13" s="4">
        <v>3</v>
      </c>
      <c r="D13" s="4" t="str">
        <v>matemaatika</v>
      </c>
      <c r="E13" s="4" t="str">
        <v>Kaspar Lauk</v>
      </c>
      <c r="H13" s="6" t="s">
        <v>29</v>
      </c>
      <c r="I13" s="6" t="s">
        <v>37</v>
      </c>
      <c r="J13" s="6">
        <v>3</v>
      </c>
      <c r="K13" s="96">
        <v>3.3333333333333335</v>
      </c>
    </row>
    <row r="14" spans="1:17" x14ac:dyDescent="0.25">
      <c r="A14" s="4" t="s">
        <v>19</v>
      </c>
      <c r="B14" s="4" t="s">
        <v>29</v>
      </c>
      <c r="C14" s="4">
        <v>3</v>
      </c>
      <c r="D14" s="4" t="str">
        <v>inglise keel</v>
      </c>
      <c r="E14" s="4" t="str">
        <v>Tiina Laev</v>
      </c>
      <c r="H14" s="6" t="s">
        <v>38</v>
      </c>
      <c r="I14" s="6" t="s">
        <v>39</v>
      </c>
      <c r="J14" s="6">
        <v>2</v>
      </c>
      <c r="K14" s="96">
        <v>3</v>
      </c>
    </row>
    <row r="15" spans="1:17" x14ac:dyDescent="0.25">
      <c r="A15" s="4" t="s">
        <v>22</v>
      </c>
      <c r="B15" s="4" t="s">
        <v>38</v>
      </c>
      <c r="C15" s="4">
        <v>3</v>
      </c>
      <c r="D15" s="4" t="str">
        <v>eesti keel</v>
      </c>
      <c r="E15" s="4" t="str">
        <v>Priit Liigand</v>
      </c>
    </row>
    <row r="16" spans="1:17" x14ac:dyDescent="0.25">
      <c r="A16" s="4" t="s">
        <v>19</v>
      </c>
      <c r="B16" s="4" t="s">
        <v>24</v>
      </c>
      <c r="C16" s="4">
        <v>4</v>
      </c>
      <c r="D16" s="4" t="str">
        <v>inglise keel</v>
      </c>
      <c r="E16" s="4" t="str">
        <v>Tanel Lepp</v>
      </c>
    </row>
    <row r="17" spans="1:5" x14ac:dyDescent="0.25">
      <c r="A17" s="4" t="s">
        <v>19</v>
      </c>
      <c r="B17" s="4" t="s">
        <v>20</v>
      </c>
      <c r="C17" s="4">
        <v>5</v>
      </c>
      <c r="D17" s="4" t="str">
        <v>inglise keel</v>
      </c>
      <c r="E17" s="4" t="str">
        <v>Mia Tamm</v>
      </c>
    </row>
    <row r="18" spans="1:5" x14ac:dyDescent="0.25">
      <c r="A18" s="4" t="s">
        <v>22</v>
      </c>
      <c r="B18" s="4" t="s">
        <v>27</v>
      </c>
      <c r="C18" s="4">
        <v>5</v>
      </c>
      <c r="D18" s="4" t="str">
        <v>eesti keel</v>
      </c>
      <c r="E18" s="4" t="str">
        <v>Kerly Rand</v>
      </c>
    </row>
    <row r="19" spans="1:5" x14ac:dyDescent="0.25">
      <c r="A19" s="4" t="s">
        <v>22</v>
      </c>
      <c r="B19" s="4" t="s">
        <v>29</v>
      </c>
      <c r="C19" s="4">
        <v>4</v>
      </c>
      <c r="D19" s="4" t="str">
        <v>eesti keel</v>
      </c>
      <c r="E19" s="4" t="str">
        <v>Tiina Laev</v>
      </c>
    </row>
    <row r="20" spans="1:5" x14ac:dyDescent="0.25">
      <c r="A20" s="4" t="s">
        <v>22</v>
      </c>
      <c r="B20" s="4" t="s">
        <v>24</v>
      </c>
      <c r="C20" s="4">
        <v>3</v>
      </c>
      <c r="D20" s="4" t="str">
        <v>eesti keel</v>
      </c>
      <c r="E20" s="4" t="str">
        <v>Tanel Lepp</v>
      </c>
    </row>
    <row r="21" spans="1:5" x14ac:dyDescent="0.25">
      <c r="A21" s="4" t="s">
        <v>19</v>
      </c>
      <c r="B21" s="4" t="s">
        <v>27</v>
      </c>
      <c r="C21" s="4">
        <v>4</v>
      </c>
      <c r="D21" s="4" t="str">
        <v>inglise keel</v>
      </c>
      <c r="E21" s="4" t="str">
        <v>Kerly Rand</v>
      </c>
    </row>
    <row r="22" spans="1:5" x14ac:dyDescent="0.25">
      <c r="A22" s="4" t="s">
        <v>19</v>
      </c>
      <c r="B22" s="4" t="s">
        <v>30</v>
      </c>
      <c r="C22" s="4">
        <v>3</v>
      </c>
      <c r="D22" s="4" t="str">
        <v>inglise keel</v>
      </c>
      <c r="E22" s="4" t="str">
        <v>Ester Rebane</v>
      </c>
    </row>
    <row r="23" spans="1:5" x14ac:dyDescent="0.25">
      <c r="A23" s="4" t="s">
        <v>14</v>
      </c>
      <c r="B23" s="4" t="s">
        <v>16</v>
      </c>
      <c r="C23" s="4">
        <v>5</v>
      </c>
      <c r="D23" s="4" t="str">
        <v>matemaatika</v>
      </c>
      <c r="E23" s="4" t="str">
        <v>Karl Karu</v>
      </c>
    </row>
    <row r="24" spans="1:5" x14ac:dyDescent="0.25">
      <c r="A24" s="4" t="s">
        <v>19</v>
      </c>
      <c r="B24" s="4" t="s">
        <v>38</v>
      </c>
      <c r="C24" s="4">
        <v>3</v>
      </c>
      <c r="D24" s="4" t="str">
        <v>inglise keel</v>
      </c>
      <c r="E24" s="4" t="str">
        <v>Priit Liigand</v>
      </c>
    </row>
    <row r="25" spans="1:5" x14ac:dyDescent="0.25">
      <c r="A25" s="4" t="s">
        <v>22</v>
      </c>
      <c r="B25" s="4" t="s">
        <v>16</v>
      </c>
      <c r="C25" s="4">
        <v>4</v>
      </c>
      <c r="D25" s="4" t="str">
        <v>eesti keel</v>
      </c>
      <c r="E25" s="4" t="str">
        <v>Karl Karu</v>
      </c>
    </row>
    <row r="26" spans="1:5" x14ac:dyDescent="0.25">
      <c r="A26" s="4" t="s">
        <v>14</v>
      </c>
      <c r="B26" s="4" t="s">
        <v>20</v>
      </c>
      <c r="C26" s="4">
        <v>3</v>
      </c>
      <c r="D26" s="4" t="str">
        <v>matemaatika</v>
      </c>
      <c r="E26" s="4" t="str">
        <v>Mia Tamm</v>
      </c>
    </row>
    <row r="27" spans="1:5" x14ac:dyDescent="0.25">
      <c r="A27" s="4" t="s">
        <v>22</v>
      </c>
      <c r="B27" s="4" t="s">
        <v>20</v>
      </c>
      <c r="C27" s="4">
        <v>5</v>
      </c>
      <c r="D27" s="4" t="str">
        <v>eesti keel</v>
      </c>
      <c r="E27" s="4" t="str">
        <v>Mia Tamm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03D5-8140-4884-9851-3DC11AF145DD}">
  <dimension ref="B4:J20"/>
  <sheetViews>
    <sheetView zoomScale="160" zoomScaleNormal="160" workbookViewId="0"/>
  </sheetViews>
  <sheetFormatPr defaultColWidth="9.1796875" defaultRowHeight="12.5" x14ac:dyDescent="0.25"/>
  <cols>
    <col min="1" max="1" width="5.1796875" style="5" customWidth="1"/>
    <col min="2" max="2" width="10.54296875" style="5" bestFit="1" customWidth="1"/>
    <col min="3" max="4" width="9.1796875" style="5"/>
    <col min="5" max="5" width="6.453125" style="5" customWidth="1"/>
    <col min="6" max="16384" width="9.1796875" style="5"/>
  </cols>
  <sheetData>
    <row r="4" spans="2:10" ht="13.5" thickBot="1" x14ac:dyDescent="0.35">
      <c r="B4" s="17" t="s">
        <v>186</v>
      </c>
      <c r="C4" s="18"/>
      <c r="D4" s="18"/>
    </row>
    <row r="5" spans="2:10" ht="13.5" thickBot="1" x14ac:dyDescent="0.35">
      <c r="B5" s="21" t="s">
        <v>190</v>
      </c>
      <c r="C5" s="22" t="s">
        <v>191</v>
      </c>
      <c r="D5" s="22" t="s">
        <v>191</v>
      </c>
      <c r="G5" s="17" t="s">
        <v>192</v>
      </c>
      <c r="H5" s="18"/>
      <c r="I5" s="18"/>
      <c r="J5" s="18"/>
    </row>
    <row r="6" spans="2:10" ht="12.75" customHeight="1" x14ac:dyDescent="0.3">
      <c r="B6" s="26">
        <v>13</v>
      </c>
      <c r="C6" s="27" cm="1">
        <f t="array" ref="C6:C16">IFERROR(INDEX(hinnad,MATCH(d,Läbimõõdud,1)),"")</f>
        <v>27</v>
      </c>
      <c r="D6" s="27" cm="1">
        <f t="array" ref="D6:D16">IFERROR(VLOOKUP(d,andmed,2,1),"")</f>
        <v>27</v>
      </c>
      <c r="G6" s="28" t="s">
        <v>9</v>
      </c>
      <c r="H6" s="29" t="s">
        <v>194</v>
      </c>
      <c r="I6" s="29" t="s">
        <v>195</v>
      </c>
      <c r="J6" s="30" t="s">
        <v>196</v>
      </c>
    </row>
    <row r="7" spans="2:10" x14ac:dyDescent="0.25">
      <c r="B7" s="31">
        <v>25</v>
      </c>
      <c r="C7" s="32">
        <v>31</v>
      </c>
      <c r="D7" s="32">
        <v>31</v>
      </c>
      <c r="G7" s="33" t="s">
        <v>198</v>
      </c>
      <c r="H7" s="34">
        <v>1681</v>
      </c>
      <c r="I7" s="98" cm="1">
        <f t="array" ref="I7:I11">INDEX(Prots,MATCH(Läbimüük,Summa,1))</f>
        <v>0.1</v>
      </c>
      <c r="J7" s="35" cm="1">
        <f t="array" ref="J7:J11">Läbimüük*Protsent</f>
        <v>168.10000000000002</v>
      </c>
    </row>
    <row r="8" spans="2:10" x14ac:dyDescent="0.25">
      <c r="B8" s="31">
        <v>17</v>
      </c>
      <c r="C8" s="32">
        <v>29</v>
      </c>
      <c r="D8" s="32">
        <v>29</v>
      </c>
      <c r="G8" s="33" t="s">
        <v>200</v>
      </c>
      <c r="H8" s="34">
        <v>556</v>
      </c>
      <c r="I8" s="98">
        <v>0.03</v>
      </c>
      <c r="J8" s="35">
        <v>16.68</v>
      </c>
    </row>
    <row r="9" spans="2:10" x14ac:dyDescent="0.25">
      <c r="B9" s="31">
        <v>32</v>
      </c>
      <c r="C9" s="32">
        <v>28</v>
      </c>
      <c r="D9" s="32">
        <v>28</v>
      </c>
      <c r="G9" s="33" t="s">
        <v>202</v>
      </c>
      <c r="H9" s="34">
        <v>3323</v>
      </c>
      <c r="I9" s="98">
        <v>0.13</v>
      </c>
      <c r="J9" s="35">
        <v>431.99</v>
      </c>
    </row>
    <row r="10" spans="2:10" x14ac:dyDescent="0.25">
      <c r="B10" s="31">
        <v>18</v>
      </c>
      <c r="C10" s="32">
        <v>29</v>
      </c>
      <c r="D10" s="32">
        <v>29</v>
      </c>
      <c r="G10" s="33" t="s">
        <v>204</v>
      </c>
      <c r="H10" s="34">
        <v>1598</v>
      </c>
      <c r="I10" s="98">
        <v>7.0000000000000007E-2</v>
      </c>
      <c r="J10" s="35">
        <v>111.86000000000001</v>
      </c>
    </row>
    <row r="11" spans="2:10" ht="13" thickBot="1" x14ac:dyDescent="0.3">
      <c r="B11" s="31">
        <v>20</v>
      </c>
      <c r="C11" s="32">
        <v>33</v>
      </c>
      <c r="D11" s="32">
        <v>33</v>
      </c>
      <c r="G11" s="39" t="s">
        <v>206</v>
      </c>
      <c r="H11" s="40">
        <v>1170</v>
      </c>
      <c r="I11" s="99">
        <v>7.0000000000000007E-2</v>
      </c>
      <c r="J11" s="41">
        <v>81.900000000000006</v>
      </c>
    </row>
    <row r="12" spans="2:10" x14ac:dyDescent="0.25">
      <c r="B12" s="31">
        <v>15</v>
      </c>
      <c r="C12" s="32">
        <v>29</v>
      </c>
      <c r="D12" s="32">
        <v>29</v>
      </c>
    </row>
    <row r="13" spans="2:10" x14ac:dyDescent="0.25">
      <c r="B13" s="31">
        <v>35</v>
      </c>
      <c r="C13" s="32">
        <v>28</v>
      </c>
      <c r="D13" s="32">
        <v>28</v>
      </c>
      <c r="J13" s="18"/>
    </row>
    <row r="14" spans="2:10" x14ac:dyDescent="0.25">
      <c r="B14" s="31">
        <v>24</v>
      </c>
      <c r="C14" s="32">
        <v>33</v>
      </c>
      <c r="D14" s="32">
        <v>33</v>
      </c>
      <c r="J14" s="18"/>
    </row>
    <row r="15" spans="2:10" x14ac:dyDescent="0.25">
      <c r="B15" s="31">
        <v>18</v>
      </c>
      <c r="C15" s="32">
        <v>29</v>
      </c>
      <c r="D15" s="32">
        <v>29</v>
      </c>
      <c r="E15" s="18"/>
    </row>
    <row r="16" spans="2:10" ht="13" thickBot="1" x14ac:dyDescent="0.3">
      <c r="B16" s="43"/>
      <c r="C16" s="44" t="str">
        <v/>
      </c>
      <c r="D16" s="44" t="str">
        <v/>
      </c>
      <c r="E16" s="18"/>
    </row>
    <row r="17" spans="2:5" ht="12.75" customHeight="1" x14ac:dyDescent="0.25">
      <c r="B17" s="18"/>
      <c r="C17" s="101" t="s">
        <v>207</v>
      </c>
      <c r="D17" s="101" t="s">
        <v>208</v>
      </c>
      <c r="E17" s="18"/>
    </row>
    <row r="18" spans="2:5" x14ac:dyDescent="0.25">
      <c r="C18" s="101"/>
      <c r="D18" s="101"/>
    </row>
    <row r="19" spans="2:5" x14ac:dyDescent="0.25">
      <c r="B19" s="18"/>
      <c r="C19" s="101"/>
      <c r="D19" s="101"/>
    </row>
    <row r="20" spans="2:5" x14ac:dyDescent="0.25">
      <c r="B20" s="18"/>
      <c r="C20" s="101"/>
      <c r="D20" s="101"/>
    </row>
  </sheetData>
  <mergeCells count="2">
    <mergeCell ref="C17:C20"/>
    <mergeCell ref="D17:D20"/>
  </mergeCells>
  <printOptions gridLines="1" gridLinesSet="0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9676-E17D-41D9-B881-3496F8D011EB}">
  <dimension ref="B1:G23"/>
  <sheetViews>
    <sheetView zoomScale="150" zoomScaleNormal="150" workbookViewId="0"/>
  </sheetViews>
  <sheetFormatPr defaultColWidth="9.1796875" defaultRowHeight="12.5" x14ac:dyDescent="0.25"/>
  <cols>
    <col min="1" max="3" width="9.1796875" style="18"/>
    <col min="4" max="4" width="9.54296875" style="18" bestFit="1" customWidth="1"/>
    <col min="5" max="16384" width="9.1796875" style="18"/>
  </cols>
  <sheetData>
    <row r="1" spans="2:7" ht="37.5" customHeight="1" x14ac:dyDescent="0.25"/>
    <row r="2" spans="2:7" ht="15.5" x14ac:dyDescent="0.35">
      <c r="B2" s="45" t="s">
        <v>223</v>
      </c>
      <c r="D2" s="42"/>
      <c r="E2" s="46"/>
    </row>
    <row r="3" spans="2:7" x14ac:dyDescent="0.25">
      <c r="D3" s="42"/>
    </row>
    <row r="4" spans="2:7" ht="13" x14ac:dyDescent="0.3">
      <c r="B4" s="48" t="s">
        <v>210</v>
      </c>
      <c r="C4" s="48" t="s">
        <v>211</v>
      </c>
      <c r="D4" s="49" t="s">
        <v>187</v>
      </c>
      <c r="E4" s="49" t="s">
        <v>191</v>
      </c>
      <c r="F4" s="50" t="s">
        <v>212</v>
      </c>
      <c r="G4" s="48" t="s">
        <v>213</v>
      </c>
    </row>
    <row r="5" spans="2:7" x14ac:dyDescent="0.25">
      <c r="B5" s="51">
        <v>37591</v>
      </c>
      <c r="C5" s="34" t="s">
        <v>214</v>
      </c>
      <c r="D5" s="52">
        <v>15</v>
      </c>
      <c r="E5" s="53" cm="1">
        <f t="array" ref="E5:E21">INDEX(puuhinnad,MATCH(Liik,puud,0),MATCH(Läbimõõt,mõõdud,1))</f>
        <v>35</v>
      </c>
      <c r="F5" s="54">
        <v>10</v>
      </c>
      <c r="G5" s="55" cm="1">
        <f t="array" ref="G5:G21">Hind*Kogus</f>
        <v>350</v>
      </c>
    </row>
    <row r="6" spans="2:7" x14ac:dyDescent="0.25">
      <c r="B6" s="51">
        <v>37591</v>
      </c>
      <c r="C6" s="34" t="s">
        <v>216</v>
      </c>
      <c r="D6" s="52">
        <v>22</v>
      </c>
      <c r="E6" s="53">
        <v>26</v>
      </c>
      <c r="F6" s="54">
        <v>23.8</v>
      </c>
      <c r="G6" s="55">
        <v>618.80000000000007</v>
      </c>
    </row>
    <row r="7" spans="2:7" x14ac:dyDescent="0.25">
      <c r="B7" s="51">
        <v>37591</v>
      </c>
      <c r="C7" s="34" t="s">
        <v>217</v>
      </c>
      <c r="D7" s="52">
        <v>20</v>
      </c>
      <c r="E7" s="53">
        <v>33</v>
      </c>
      <c r="F7" s="54">
        <v>45.3</v>
      </c>
      <c r="G7" s="55">
        <v>1494.8999999999999</v>
      </c>
    </row>
    <row r="8" spans="2:7" x14ac:dyDescent="0.25">
      <c r="B8" s="51">
        <v>37592</v>
      </c>
      <c r="C8" s="34" t="s">
        <v>219</v>
      </c>
      <c r="D8" s="52">
        <v>32</v>
      </c>
      <c r="E8" s="53">
        <v>35</v>
      </c>
      <c r="F8" s="54">
        <v>37</v>
      </c>
      <c r="G8" s="55">
        <v>1295</v>
      </c>
    </row>
    <row r="9" spans="2:7" x14ac:dyDescent="0.25">
      <c r="B9" s="51">
        <v>37592</v>
      </c>
      <c r="C9" s="34" t="s">
        <v>217</v>
      </c>
      <c r="D9" s="52">
        <v>23</v>
      </c>
      <c r="E9" s="53">
        <v>33</v>
      </c>
      <c r="F9" s="54">
        <v>52</v>
      </c>
      <c r="G9" s="55">
        <v>1716</v>
      </c>
    </row>
    <row r="10" spans="2:7" x14ac:dyDescent="0.25">
      <c r="B10" s="51">
        <v>37593</v>
      </c>
      <c r="C10" s="34" t="s">
        <v>221</v>
      </c>
      <c r="D10" s="52">
        <v>45</v>
      </c>
      <c r="E10" s="53">
        <v>58</v>
      </c>
      <c r="F10" s="54">
        <v>75</v>
      </c>
      <c r="G10" s="55">
        <v>4350</v>
      </c>
    </row>
    <row r="11" spans="2:7" x14ac:dyDescent="0.25">
      <c r="B11" s="51">
        <v>37593</v>
      </c>
      <c r="C11" s="34" t="s">
        <v>217</v>
      </c>
      <c r="D11" s="52">
        <v>28</v>
      </c>
      <c r="E11" s="53">
        <v>35</v>
      </c>
      <c r="F11" s="54">
        <v>45</v>
      </c>
      <c r="G11" s="55">
        <v>1575</v>
      </c>
    </row>
    <row r="12" spans="2:7" x14ac:dyDescent="0.25">
      <c r="B12" s="51">
        <v>37593</v>
      </c>
      <c r="C12" s="34" t="s">
        <v>219</v>
      </c>
      <c r="D12" s="52">
        <v>20</v>
      </c>
      <c r="E12" s="53">
        <v>36</v>
      </c>
      <c r="F12" s="54">
        <v>38.799999999999997</v>
      </c>
      <c r="G12" s="55">
        <v>1396.8</v>
      </c>
    </row>
    <row r="13" spans="2:7" x14ac:dyDescent="0.25">
      <c r="B13" s="51">
        <v>37593</v>
      </c>
      <c r="C13" s="34" t="s">
        <v>216</v>
      </c>
      <c r="D13" s="52">
        <v>22</v>
      </c>
      <c r="E13" s="53">
        <v>26</v>
      </c>
      <c r="F13" s="54">
        <v>45.9</v>
      </c>
      <c r="G13" s="55">
        <v>1193.3999999999999</v>
      </c>
    </row>
    <row r="14" spans="2:7" x14ac:dyDescent="0.25">
      <c r="B14" s="51">
        <v>37594</v>
      </c>
      <c r="C14" s="34" t="s">
        <v>220</v>
      </c>
      <c r="D14" s="52">
        <v>31</v>
      </c>
      <c r="E14" s="53">
        <v>19</v>
      </c>
      <c r="F14" s="54">
        <v>63.6</v>
      </c>
      <c r="G14" s="55">
        <v>1208.4000000000001</v>
      </c>
    </row>
    <row r="15" spans="2:7" x14ac:dyDescent="0.25">
      <c r="B15" s="51">
        <v>37594</v>
      </c>
      <c r="C15" s="34" t="s">
        <v>219</v>
      </c>
      <c r="D15" s="52">
        <v>28</v>
      </c>
      <c r="E15" s="53">
        <v>39</v>
      </c>
      <c r="F15" s="54">
        <v>58.4</v>
      </c>
      <c r="G15" s="55">
        <v>2277.6</v>
      </c>
    </row>
    <row r="16" spans="2:7" x14ac:dyDescent="0.25">
      <c r="B16" s="51">
        <v>37594</v>
      </c>
      <c r="C16" s="34" t="s">
        <v>217</v>
      </c>
      <c r="D16" s="52">
        <v>15</v>
      </c>
      <c r="E16" s="53">
        <v>31</v>
      </c>
      <c r="F16" s="54">
        <v>44</v>
      </c>
      <c r="G16" s="55">
        <v>1364</v>
      </c>
    </row>
    <row r="17" spans="2:7" x14ac:dyDescent="0.25">
      <c r="B17" s="51">
        <v>37595</v>
      </c>
      <c r="C17" s="34" t="s">
        <v>221</v>
      </c>
      <c r="D17" s="52">
        <v>30</v>
      </c>
      <c r="E17" s="53">
        <v>58</v>
      </c>
      <c r="F17" s="54">
        <v>25</v>
      </c>
      <c r="G17" s="55">
        <v>1450</v>
      </c>
    </row>
    <row r="18" spans="2:7" x14ac:dyDescent="0.25">
      <c r="B18" s="51">
        <v>37595</v>
      </c>
      <c r="C18" s="34" t="s">
        <v>216</v>
      </c>
      <c r="D18" s="52">
        <v>27</v>
      </c>
      <c r="E18" s="53">
        <v>31</v>
      </c>
      <c r="F18" s="54">
        <v>39</v>
      </c>
      <c r="G18" s="55">
        <v>1209</v>
      </c>
    </row>
    <row r="19" spans="2:7" x14ac:dyDescent="0.25">
      <c r="B19" s="51">
        <v>37597</v>
      </c>
      <c r="C19" s="34" t="s">
        <v>220</v>
      </c>
      <c r="D19" s="52">
        <v>23</v>
      </c>
      <c r="E19" s="53">
        <v>19</v>
      </c>
      <c r="F19" s="54">
        <v>132</v>
      </c>
      <c r="G19" s="55">
        <v>2508</v>
      </c>
    </row>
    <row r="20" spans="2:7" x14ac:dyDescent="0.25">
      <c r="B20" s="51">
        <v>37597</v>
      </c>
      <c r="C20" s="34" t="s">
        <v>217</v>
      </c>
      <c r="D20" s="52">
        <v>27</v>
      </c>
      <c r="E20" s="53">
        <v>35</v>
      </c>
      <c r="F20" s="54">
        <v>160</v>
      </c>
      <c r="G20" s="55">
        <v>5600</v>
      </c>
    </row>
    <row r="21" spans="2:7" x14ac:dyDescent="0.25">
      <c r="B21" s="51">
        <v>37597</v>
      </c>
      <c r="C21" s="34" t="s">
        <v>219</v>
      </c>
      <c r="D21" s="52">
        <v>18</v>
      </c>
      <c r="E21" s="53">
        <v>34</v>
      </c>
      <c r="F21" s="54">
        <v>39</v>
      </c>
      <c r="G21" s="55">
        <v>1326</v>
      </c>
    </row>
    <row r="22" spans="2:7" x14ac:dyDescent="0.25">
      <c r="B22" s="65"/>
      <c r="C22" s="65"/>
      <c r="D22" s="65"/>
      <c r="E22" s="24"/>
      <c r="F22" s="65"/>
      <c r="G22" s="65"/>
    </row>
    <row r="23" spans="2:7" ht="13" x14ac:dyDescent="0.3">
      <c r="B23" s="65"/>
      <c r="C23" s="65"/>
      <c r="D23" s="71" t="s">
        <v>222</v>
      </c>
      <c r="E23" s="72">
        <f>SUM(Hind)</f>
        <v>583</v>
      </c>
      <c r="G23" s="55">
        <f>SUM(Summa)</f>
        <v>30932.899999999998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A3BF-2673-4627-A6D3-EB3AAC5F8A09}">
  <dimension ref="B2:T18"/>
  <sheetViews>
    <sheetView zoomScale="150" zoomScaleNormal="150" workbookViewId="0"/>
  </sheetViews>
  <sheetFormatPr defaultRowHeight="14.5" x14ac:dyDescent="0.35"/>
  <sheetData>
    <row r="2" spans="2:20" ht="15" thickBot="1" x14ac:dyDescent="0.4">
      <c r="B2" s="11" t="s">
        <v>161</v>
      </c>
      <c r="E2" s="12" t="s">
        <v>278</v>
      </c>
      <c r="F2" s="13" t="s">
        <v>41</v>
      </c>
      <c r="G2" s="11"/>
      <c r="I2" s="17" t="s">
        <v>185</v>
      </c>
      <c r="J2" s="18"/>
      <c r="K2" s="5"/>
      <c r="N2" s="18"/>
      <c r="O2" s="18"/>
      <c r="P2" s="18"/>
      <c r="Q2" s="18"/>
      <c r="R2" s="18"/>
      <c r="S2" s="18"/>
      <c r="T2" s="18"/>
    </row>
    <row r="3" spans="2:20" x14ac:dyDescent="0.35">
      <c r="B3" t="s">
        <v>166</v>
      </c>
      <c r="E3" s="9" t="s">
        <v>49</v>
      </c>
      <c r="F3" s="9">
        <v>2300</v>
      </c>
      <c r="I3" s="19" t="s">
        <v>187</v>
      </c>
      <c r="J3" s="19" t="s">
        <v>188</v>
      </c>
      <c r="K3" s="20" t="s">
        <v>189</v>
      </c>
      <c r="N3" s="47" t="s">
        <v>209</v>
      </c>
      <c r="O3" s="18"/>
      <c r="P3" s="18"/>
      <c r="Q3" s="18"/>
      <c r="R3" s="18"/>
      <c r="S3" s="18"/>
      <c r="T3" s="18"/>
    </row>
    <row r="4" spans="2:20" x14ac:dyDescent="0.35">
      <c r="B4" t="s">
        <v>163</v>
      </c>
      <c r="E4" s="9" t="s">
        <v>75</v>
      </c>
      <c r="F4" s="9">
        <v>3150</v>
      </c>
      <c r="I4" s="23" t="s">
        <v>193</v>
      </c>
      <c r="J4" s="24">
        <v>5</v>
      </c>
      <c r="K4" s="25">
        <v>23</v>
      </c>
      <c r="N4" s="18"/>
      <c r="O4" s="18"/>
      <c r="P4" s="18"/>
      <c r="Q4" s="18"/>
      <c r="R4" s="18"/>
      <c r="S4" s="18"/>
      <c r="T4" s="18"/>
    </row>
    <row r="5" spans="2:20" x14ac:dyDescent="0.35">
      <c r="B5" t="s">
        <v>164</v>
      </c>
      <c r="E5" s="9" t="s">
        <v>46</v>
      </c>
      <c r="F5" s="9">
        <v>1280</v>
      </c>
      <c r="I5" s="23" t="s">
        <v>197</v>
      </c>
      <c r="J5" s="24">
        <v>10</v>
      </c>
      <c r="K5" s="25">
        <v>27</v>
      </c>
      <c r="N5" s="18"/>
      <c r="O5" s="18" t="s">
        <v>215</v>
      </c>
      <c r="P5" s="18"/>
      <c r="Q5" s="18"/>
      <c r="R5" s="18"/>
      <c r="S5" s="18"/>
      <c r="T5" s="18"/>
    </row>
    <row r="6" spans="2:20" ht="15" thickBot="1" x14ac:dyDescent="0.4">
      <c r="B6" t="s">
        <v>165</v>
      </c>
      <c r="E6" s="9" t="s">
        <v>79</v>
      </c>
      <c r="F6" s="9">
        <v>1800</v>
      </c>
      <c r="I6" s="23" t="s">
        <v>199</v>
      </c>
      <c r="J6" s="24">
        <v>15</v>
      </c>
      <c r="K6" s="25">
        <v>29</v>
      </c>
      <c r="N6" s="18"/>
      <c r="O6" s="18"/>
      <c r="P6" s="18"/>
      <c r="Q6" s="18"/>
      <c r="R6" s="18"/>
      <c r="S6" s="18"/>
      <c r="T6" s="18"/>
    </row>
    <row r="7" spans="2:20" ht="15" thickBot="1" x14ac:dyDescent="0.4">
      <c r="B7" t="s">
        <v>162</v>
      </c>
      <c r="E7" s="9" t="s">
        <v>82</v>
      </c>
      <c r="F7" s="9">
        <v>2670</v>
      </c>
      <c r="I7" s="23" t="s">
        <v>201</v>
      </c>
      <c r="J7" s="24">
        <v>20</v>
      </c>
      <c r="K7" s="25">
        <v>33</v>
      </c>
      <c r="N7" s="56" t="s">
        <v>218</v>
      </c>
      <c r="O7" s="57">
        <v>10</v>
      </c>
      <c r="P7" s="57">
        <v>15</v>
      </c>
      <c r="Q7" s="57">
        <v>20</v>
      </c>
      <c r="R7" s="57">
        <v>25</v>
      </c>
      <c r="S7" s="58">
        <v>30</v>
      </c>
      <c r="T7" s="18"/>
    </row>
    <row r="8" spans="2:20" x14ac:dyDescent="0.35">
      <c r="B8" t="s">
        <v>162</v>
      </c>
      <c r="E8" s="9" t="s">
        <v>66</v>
      </c>
      <c r="F8" s="9">
        <v>1750</v>
      </c>
      <c r="I8" s="23" t="s">
        <v>203</v>
      </c>
      <c r="J8" s="24">
        <v>25</v>
      </c>
      <c r="K8" s="25">
        <v>31</v>
      </c>
      <c r="N8" s="59" t="s">
        <v>220</v>
      </c>
      <c r="O8" s="60">
        <v>12</v>
      </c>
      <c r="P8" s="61">
        <v>16</v>
      </c>
      <c r="Q8" s="61">
        <v>19</v>
      </c>
      <c r="R8" s="61">
        <v>23</v>
      </c>
      <c r="S8" s="62">
        <v>19</v>
      </c>
      <c r="T8" s="18"/>
    </row>
    <row r="9" spans="2:20" ht="15" thickBot="1" x14ac:dyDescent="0.4">
      <c r="E9" s="9" t="s">
        <v>57</v>
      </c>
      <c r="F9" s="9">
        <v>1380</v>
      </c>
      <c r="I9" s="36" t="s">
        <v>205</v>
      </c>
      <c r="J9" s="37">
        <v>30</v>
      </c>
      <c r="K9" s="38">
        <v>28</v>
      </c>
      <c r="N9" s="63" t="s">
        <v>219</v>
      </c>
      <c r="O9" s="64">
        <v>31</v>
      </c>
      <c r="P9" s="65">
        <v>34</v>
      </c>
      <c r="Q9" s="65">
        <v>36</v>
      </c>
      <c r="R9" s="65">
        <v>39</v>
      </c>
      <c r="S9" s="66">
        <v>35</v>
      </c>
      <c r="T9" s="18"/>
    </row>
    <row r="10" spans="2:20" x14ac:dyDescent="0.35">
      <c r="E10" s="9" t="s">
        <v>53</v>
      </c>
      <c r="F10" s="9">
        <v>1740</v>
      </c>
      <c r="N10" s="63" t="s">
        <v>216</v>
      </c>
      <c r="O10" s="64">
        <v>15</v>
      </c>
      <c r="P10" s="65">
        <v>22</v>
      </c>
      <c r="Q10" s="65">
        <v>26</v>
      </c>
      <c r="R10" s="65">
        <v>31</v>
      </c>
      <c r="S10" s="66">
        <v>29</v>
      </c>
      <c r="T10" s="18"/>
    </row>
    <row r="11" spans="2:20" x14ac:dyDescent="0.35">
      <c r="N11" s="63" t="s">
        <v>217</v>
      </c>
      <c r="O11" s="64">
        <v>28</v>
      </c>
      <c r="P11" s="65">
        <v>31</v>
      </c>
      <c r="Q11" s="65">
        <v>33</v>
      </c>
      <c r="R11" s="65">
        <v>35</v>
      </c>
      <c r="S11" s="66">
        <v>33</v>
      </c>
      <c r="T11" s="18"/>
    </row>
    <row r="12" spans="2:20" x14ac:dyDescent="0.35">
      <c r="N12" s="63" t="s">
        <v>214</v>
      </c>
      <c r="O12" s="64">
        <v>33</v>
      </c>
      <c r="P12" s="65">
        <v>35</v>
      </c>
      <c r="Q12" s="65">
        <v>39</v>
      </c>
      <c r="R12" s="65">
        <v>42</v>
      </c>
      <c r="S12" s="66">
        <v>38</v>
      </c>
      <c r="T12" s="18"/>
    </row>
    <row r="13" spans="2:20" ht="15" thickBot="1" x14ac:dyDescent="0.4">
      <c r="N13" s="67" t="s">
        <v>221</v>
      </c>
      <c r="O13" s="68">
        <v>38</v>
      </c>
      <c r="P13" s="69">
        <v>43</v>
      </c>
      <c r="Q13" s="69">
        <v>48</v>
      </c>
      <c r="R13" s="69">
        <v>54</v>
      </c>
      <c r="S13" s="70">
        <v>58</v>
      </c>
      <c r="T13" s="18"/>
    </row>
    <row r="14" spans="2:20" x14ac:dyDescent="0.35">
      <c r="C14" t="s">
        <v>321</v>
      </c>
      <c r="F14" s="9" t="s">
        <v>213</v>
      </c>
      <c r="G14" s="9" t="s">
        <v>325</v>
      </c>
      <c r="N14" s="18"/>
      <c r="O14" s="18"/>
      <c r="P14" s="18"/>
      <c r="Q14" s="18"/>
      <c r="R14" s="18"/>
      <c r="S14" s="18"/>
      <c r="T14" s="18"/>
    </row>
    <row r="15" spans="2:20" x14ac:dyDescent="0.35">
      <c r="C15" t="s">
        <v>322</v>
      </c>
      <c r="F15" s="9">
        <v>0</v>
      </c>
      <c r="G15" s="97">
        <v>0.03</v>
      </c>
    </row>
    <row r="16" spans="2:20" x14ac:dyDescent="0.35">
      <c r="C16" t="s">
        <v>323</v>
      </c>
      <c r="F16" s="9">
        <v>650</v>
      </c>
      <c r="G16" s="97">
        <v>7.0000000000000007E-2</v>
      </c>
    </row>
    <row r="17" spans="3:7" x14ac:dyDescent="0.35">
      <c r="C17" t="s">
        <v>324</v>
      </c>
      <c r="F17" s="9">
        <v>1600</v>
      </c>
      <c r="G17" s="97">
        <v>0.1</v>
      </c>
    </row>
    <row r="18" spans="3:7" x14ac:dyDescent="0.35">
      <c r="F18" s="9">
        <v>2550</v>
      </c>
      <c r="G18" s="97">
        <v>0.13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B7D4-E789-45AB-8E07-787E7E428D59}">
  <dimension ref="B3"/>
  <sheetViews>
    <sheetView showGridLines="0" workbookViewId="0"/>
  </sheetViews>
  <sheetFormatPr defaultRowHeight="14.5" x14ac:dyDescent="0.35"/>
  <sheetData>
    <row r="3" spans="2:2" ht="26" x14ac:dyDescent="0.35">
      <c r="B3" s="75" t="s">
        <v>326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BFE4-1A58-40C1-BBBC-F25B64550ECD}">
  <dimension ref="B2:F17"/>
  <sheetViews>
    <sheetView zoomScale="170" zoomScaleNormal="170" workbookViewId="0"/>
  </sheetViews>
  <sheetFormatPr defaultColWidth="8.7265625" defaultRowHeight="12.5" x14ac:dyDescent="0.25"/>
  <cols>
    <col min="1" max="1" width="3.26953125" style="5" customWidth="1"/>
    <col min="2" max="2" width="13.54296875" style="5" customWidth="1"/>
    <col min="3" max="3" width="13.81640625" style="5" bestFit="1" customWidth="1"/>
    <col min="4" max="5" width="8.7265625" style="5"/>
    <col min="6" max="6" width="16.1796875" style="5" customWidth="1"/>
    <col min="7" max="7" width="11.81640625" style="5" bestFit="1" customWidth="1"/>
    <col min="8" max="16384" width="8.7265625" style="5"/>
  </cols>
  <sheetData>
    <row r="2" spans="2:6" ht="17.5" x14ac:dyDescent="0.35">
      <c r="B2" s="76" t="s">
        <v>231</v>
      </c>
    </row>
    <row r="4" spans="2:6" ht="16.5" customHeight="1" x14ac:dyDescent="0.4">
      <c r="E4" s="77" t="s">
        <v>232</v>
      </c>
      <c r="F4" s="78"/>
    </row>
    <row r="5" spans="2:6" ht="14" x14ac:dyDescent="0.3">
      <c r="B5" s="79" t="s">
        <v>233</v>
      </c>
      <c r="C5" s="80" t="s">
        <v>234</v>
      </c>
      <c r="E5" s="81" t="s">
        <v>235</v>
      </c>
      <c r="F5" s="81" t="s">
        <v>13</v>
      </c>
    </row>
    <row r="6" spans="2:6" ht="14" x14ac:dyDescent="0.3">
      <c r="B6" s="82">
        <v>1</v>
      </c>
      <c r="C6" s="83" t="s">
        <v>236</v>
      </c>
      <c r="E6" s="83">
        <v>10</v>
      </c>
      <c r="F6" s="84" t="str" cm="1">
        <f t="array" ref="F6">INDEX(Kuu_nimetus,Kuu_nr)</f>
        <v>Oktoober</v>
      </c>
    </row>
    <row r="7" spans="2:6" ht="14" x14ac:dyDescent="0.3">
      <c r="B7" s="82">
        <v>2</v>
      </c>
      <c r="C7" s="83" t="s">
        <v>237</v>
      </c>
    </row>
    <row r="8" spans="2:6" ht="14" x14ac:dyDescent="0.3">
      <c r="B8" s="82">
        <v>3</v>
      </c>
      <c r="C8" s="83" t="s">
        <v>238</v>
      </c>
    </row>
    <row r="9" spans="2:6" ht="14" x14ac:dyDescent="0.3">
      <c r="B9" s="82">
        <v>4</v>
      </c>
      <c r="C9" s="83" t="s">
        <v>239</v>
      </c>
    </row>
    <row r="10" spans="2:6" ht="14" x14ac:dyDescent="0.3">
      <c r="B10" s="82">
        <v>5</v>
      </c>
      <c r="C10" s="83" t="s">
        <v>240</v>
      </c>
    </row>
    <row r="11" spans="2:6" ht="14" x14ac:dyDescent="0.3">
      <c r="B11" s="82">
        <v>6</v>
      </c>
      <c r="C11" s="83" t="s">
        <v>241</v>
      </c>
    </row>
    <row r="12" spans="2:6" ht="14" x14ac:dyDescent="0.3">
      <c r="B12" s="82">
        <v>7</v>
      </c>
      <c r="C12" s="83" t="s">
        <v>242</v>
      </c>
    </row>
    <row r="13" spans="2:6" ht="14" x14ac:dyDescent="0.3">
      <c r="B13" s="82">
        <v>8</v>
      </c>
      <c r="C13" s="83" t="s">
        <v>243</v>
      </c>
    </row>
    <row r="14" spans="2:6" ht="14" x14ac:dyDescent="0.3">
      <c r="B14" s="82">
        <v>9</v>
      </c>
      <c r="C14" s="83" t="s">
        <v>244</v>
      </c>
    </row>
    <row r="15" spans="2:6" ht="14" x14ac:dyDescent="0.3">
      <c r="B15" s="82">
        <v>10</v>
      </c>
      <c r="C15" s="83" t="s">
        <v>245</v>
      </c>
    </row>
    <row r="16" spans="2:6" ht="14" x14ac:dyDescent="0.3">
      <c r="B16" s="82">
        <v>11</v>
      </c>
      <c r="C16" s="83" t="s">
        <v>246</v>
      </c>
    </row>
    <row r="17" spans="2:3" ht="14" x14ac:dyDescent="0.3">
      <c r="B17" s="82">
        <v>12</v>
      </c>
      <c r="C17" s="83" t="s">
        <v>247</v>
      </c>
    </row>
  </sheetData>
  <dataValidations count="1">
    <dataValidation type="list" allowBlank="1" showInputMessage="1" showErrorMessage="1" sqref="E6" xr:uid="{796EDDD3-329F-40F9-BAE5-F9B993F86D6C}">
      <formula1>$B$6:$B$17</formula1>
    </dataValidation>
  </dataValidations>
  <pageMargins left="0.7" right="0.7" top="0.75" bottom="0.75" header="0.3" footer="0.3"/>
  <pageSetup paperSize="9" orientation="portrait" horizont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2F7D-F0F5-472C-B5B9-24974C6501E7}">
  <dimension ref="B2:F22"/>
  <sheetViews>
    <sheetView zoomScale="160" zoomScaleNormal="160" workbookViewId="0"/>
  </sheetViews>
  <sheetFormatPr defaultColWidth="8.7265625" defaultRowHeight="12.5" x14ac:dyDescent="0.25"/>
  <cols>
    <col min="1" max="1" width="3.26953125" style="5" customWidth="1"/>
    <col min="2" max="2" width="7.1796875" style="5" customWidth="1"/>
    <col min="3" max="3" width="16.81640625" style="5" customWidth="1"/>
    <col min="4" max="4" width="8.7265625" style="5"/>
    <col min="5" max="5" width="17.1796875" style="5" customWidth="1"/>
    <col min="6" max="6" width="14.453125" style="5" bestFit="1" customWidth="1"/>
    <col min="7" max="7" width="11.81640625" style="5" bestFit="1" customWidth="1"/>
    <col min="8" max="16384" width="8.7265625" style="5"/>
  </cols>
  <sheetData>
    <row r="2" spans="2:6" ht="17.5" x14ac:dyDescent="0.35">
      <c r="B2" s="85" t="s">
        <v>248</v>
      </c>
    </row>
    <row r="4" spans="2:6" ht="20" x14ac:dyDescent="0.4">
      <c r="E4" s="77" t="s">
        <v>249</v>
      </c>
      <c r="F4" s="78"/>
    </row>
    <row r="5" spans="2:6" ht="14" x14ac:dyDescent="0.3">
      <c r="B5" s="79" t="s">
        <v>250</v>
      </c>
      <c r="C5" s="79" t="s">
        <v>251</v>
      </c>
      <c r="E5" s="81" t="s">
        <v>252</v>
      </c>
      <c r="F5" s="81" t="s">
        <v>253</v>
      </c>
    </row>
    <row r="6" spans="2:6" ht="14" x14ac:dyDescent="0.3">
      <c r="B6" s="81">
        <v>1</v>
      </c>
      <c r="C6" s="83" t="s">
        <v>254</v>
      </c>
      <c r="E6" s="83" t="s">
        <v>255</v>
      </c>
      <c r="F6" s="84">
        <f>MATCH(Inimene,Ees__ja_peremini,0)</f>
        <v>8</v>
      </c>
    </row>
    <row r="7" spans="2:6" ht="14" x14ac:dyDescent="0.3">
      <c r="B7" s="81">
        <v>2</v>
      </c>
      <c r="C7" s="83" t="s">
        <v>256</v>
      </c>
    </row>
    <row r="8" spans="2:6" ht="14" x14ac:dyDescent="0.3">
      <c r="B8" s="81">
        <v>3</v>
      </c>
      <c r="C8" s="83" t="s">
        <v>257</v>
      </c>
    </row>
    <row r="9" spans="2:6" ht="14" x14ac:dyDescent="0.3">
      <c r="B9" s="81">
        <v>4</v>
      </c>
      <c r="C9" s="83" t="s">
        <v>258</v>
      </c>
    </row>
    <row r="10" spans="2:6" ht="14" x14ac:dyDescent="0.3">
      <c r="B10" s="81">
        <v>5</v>
      </c>
      <c r="C10" s="83" t="s">
        <v>259</v>
      </c>
    </row>
    <row r="11" spans="2:6" ht="14" x14ac:dyDescent="0.3">
      <c r="B11" s="81">
        <v>6</v>
      </c>
      <c r="C11" s="83" t="s">
        <v>260</v>
      </c>
    </row>
    <row r="12" spans="2:6" ht="14" x14ac:dyDescent="0.3">
      <c r="B12" s="81">
        <v>7</v>
      </c>
      <c r="C12" s="83" t="s">
        <v>261</v>
      </c>
    </row>
    <row r="13" spans="2:6" ht="14" x14ac:dyDescent="0.3">
      <c r="B13" s="81">
        <v>8</v>
      </c>
      <c r="C13" s="83" t="s">
        <v>255</v>
      </c>
    </row>
    <row r="14" spans="2:6" ht="14" x14ac:dyDescent="0.3">
      <c r="B14" s="81">
        <v>9</v>
      </c>
      <c r="C14" s="83" t="s">
        <v>262</v>
      </c>
    </row>
    <row r="15" spans="2:6" ht="14" x14ac:dyDescent="0.3">
      <c r="B15" s="81">
        <v>10</v>
      </c>
      <c r="C15" s="83" t="s">
        <v>263</v>
      </c>
    </row>
    <row r="16" spans="2:6" ht="14" x14ac:dyDescent="0.3">
      <c r="B16" s="81">
        <v>11</v>
      </c>
      <c r="C16" s="83" t="s">
        <v>264</v>
      </c>
    </row>
    <row r="17" spans="2:3" ht="14" x14ac:dyDescent="0.3">
      <c r="B17" s="81">
        <v>12</v>
      </c>
      <c r="C17" s="83" t="s">
        <v>265</v>
      </c>
    </row>
    <row r="18" spans="2:3" ht="14" x14ac:dyDescent="0.3">
      <c r="B18" s="81">
        <v>13</v>
      </c>
      <c r="C18" s="83" t="s">
        <v>266</v>
      </c>
    </row>
    <row r="19" spans="2:3" ht="14" x14ac:dyDescent="0.3">
      <c r="B19" s="81">
        <v>14</v>
      </c>
      <c r="C19" s="83" t="s">
        <v>267</v>
      </c>
    </row>
    <row r="20" spans="2:3" ht="14" x14ac:dyDescent="0.3">
      <c r="B20" s="81">
        <v>15</v>
      </c>
      <c r="C20" s="83" t="s">
        <v>268</v>
      </c>
    </row>
    <row r="21" spans="2:3" ht="14" x14ac:dyDescent="0.3">
      <c r="B21" s="81">
        <v>16</v>
      </c>
      <c r="C21" s="83" t="s">
        <v>269</v>
      </c>
    </row>
    <row r="22" spans="2:3" ht="14" x14ac:dyDescent="0.3">
      <c r="B22" s="81">
        <v>17</v>
      </c>
      <c r="C22" s="83" t="s">
        <v>270</v>
      </c>
    </row>
  </sheetData>
  <dataValidations count="1">
    <dataValidation type="list" allowBlank="1" showInputMessage="1" showErrorMessage="1" sqref="E6" xr:uid="{AC3D40AA-23A8-4340-80BA-58F79FDDF3A1}">
      <formula1>$C$6:$C$22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C986-79DD-4137-BC5D-BCA529B2E4E0}">
  <dimension ref="B2:F22"/>
  <sheetViews>
    <sheetView zoomScale="160" zoomScaleNormal="160" workbookViewId="0"/>
  </sheetViews>
  <sheetFormatPr defaultColWidth="8.7265625" defaultRowHeight="12.5" x14ac:dyDescent="0.25"/>
  <cols>
    <col min="1" max="1" width="3.26953125" style="5" customWidth="1"/>
    <col min="2" max="2" width="18.26953125" style="5" customWidth="1"/>
    <col min="3" max="3" width="10" style="5" bestFit="1" customWidth="1"/>
    <col min="4" max="4" width="8.7265625" style="5"/>
    <col min="5" max="5" width="15.7265625" style="5" customWidth="1"/>
    <col min="6" max="6" width="13.54296875" style="5" customWidth="1"/>
    <col min="7" max="7" width="11.81640625" style="5" bestFit="1" customWidth="1"/>
    <col min="8" max="16384" width="8.7265625" style="5"/>
  </cols>
  <sheetData>
    <row r="2" spans="2:6" ht="17.5" x14ac:dyDescent="0.35">
      <c r="B2" s="76" t="s">
        <v>231</v>
      </c>
    </row>
    <row r="3" spans="2:6" ht="17.5" x14ac:dyDescent="0.35">
      <c r="B3" s="85" t="s">
        <v>248</v>
      </c>
    </row>
    <row r="4" spans="2:6" ht="20" x14ac:dyDescent="0.4">
      <c r="E4" s="77" t="s">
        <v>271</v>
      </c>
      <c r="F4" s="78"/>
    </row>
    <row r="5" spans="2:6" ht="14" x14ac:dyDescent="0.3">
      <c r="B5" s="79" t="s">
        <v>251</v>
      </c>
      <c r="C5" s="80" t="s">
        <v>41</v>
      </c>
      <c r="E5" s="81" t="s">
        <v>252</v>
      </c>
      <c r="F5" s="81" t="s">
        <v>272</v>
      </c>
    </row>
    <row r="6" spans="2:6" ht="14" x14ac:dyDescent="0.3">
      <c r="B6" s="81" t="s">
        <v>254</v>
      </c>
      <c r="C6" s="86">
        <v>1151.6175000000003</v>
      </c>
      <c r="E6" s="86" t="s">
        <v>262</v>
      </c>
      <c r="F6" s="87">
        <f>INDEX(Palk,MATCH(Inimene,Ees__ja_peremini,0))</f>
        <v>1143.4500000000003</v>
      </c>
    </row>
    <row r="7" spans="2:6" ht="14" x14ac:dyDescent="0.3">
      <c r="B7" s="81" t="s">
        <v>256</v>
      </c>
      <c r="C7" s="86">
        <v>1551.825</v>
      </c>
    </row>
    <row r="8" spans="2:6" ht="14" x14ac:dyDescent="0.3">
      <c r="B8" s="81" t="s">
        <v>257</v>
      </c>
      <c r="C8" s="86">
        <v>816.75000000000011</v>
      </c>
    </row>
    <row r="9" spans="2:6" ht="14" x14ac:dyDescent="0.3">
      <c r="B9" s="81" t="s">
        <v>258</v>
      </c>
      <c r="C9" s="86">
        <v>1470.1500000000003</v>
      </c>
    </row>
    <row r="10" spans="2:6" ht="14" x14ac:dyDescent="0.3">
      <c r="B10" s="81" t="s">
        <v>259</v>
      </c>
      <c r="C10" s="86">
        <v>1094.4450000000002</v>
      </c>
    </row>
    <row r="11" spans="2:6" ht="14" x14ac:dyDescent="0.3">
      <c r="B11" s="81" t="s">
        <v>260</v>
      </c>
      <c r="C11" s="86">
        <v>1633.5000000000002</v>
      </c>
    </row>
    <row r="12" spans="2:6" ht="14" x14ac:dyDescent="0.3">
      <c r="B12" s="81" t="s">
        <v>261</v>
      </c>
      <c r="C12" s="86">
        <v>1094.4450000000002</v>
      </c>
    </row>
    <row r="13" spans="2:6" ht="14" x14ac:dyDescent="0.3">
      <c r="B13" s="81" t="s">
        <v>255</v>
      </c>
      <c r="C13" s="86">
        <v>1813.1850000000004</v>
      </c>
    </row>
    <row r="14" spans="2:6" ht="14" x14ac:dyDescent="0.3">
      <c r="B14" s="81" t="s">
        <v>262</v>
      </c>
      <c r="C14" s="86">
        <v>1143.4500000000003</v>
      </c>
    </row>
    <row r="15" spans="2:6" ht="14" x14ac:dyDescent="0.3">
      <c r="B15" s="81" t="s">
        <v>263</v>
      </c>
      <c r="C15" s="86">
        <v>898.42500000000007</v>
      </c>
    </row>
    <row r="16" spans="2:6" ht="14" x14ac:dyDescent="0.3">
      <c r="B16" s="81" t="s">
        <v>264</v>
      </c>
      <c r="C16" s="86">
        <v>980.1</v>
      </c>
    </row>
    <row r="17" spans="2:3" ht="14" x14ac:dyDescent="0.3">
      <c r="B17" s="81" t="s">
        <v>265</v>
      </c>
      <c r="C17" s="86">
        <v>1404.8100000000002</v>
      </c>
    </row>
    <row r="18" spans="2:3" ht="14" x14ac:dyDescent="0.3">
      <c r="B18" s="81" t="s">
        <v>266</v>
      </c>
      <c r="C18" s="86">
        <v>1306.8000000000004</v>
      </c>
    </row>
    <row r="19" spans="2:3" ht="14" x14ac:dyDescent="0.3">
      <c r="B19" s="81" t="s">
        <v>267</v>
      </c>
      <c r="C19" s="86">
        <v>931.09500000000014</v>
      </c>
    </row>
    <row r="20" spans="2:3" ht="14" x14ac:dyDescent="0.3">
      <c r="B20" s="81" t="s">
        <v>268</v>
      </c>
      <c r="C20" s="86">
        <v>1110.7800000000002</v>
      </c>
    </row>
    <row r="21" spans="2:3" ht="14" x14ac:dyDescent="0.3">
      <c r="B21" s="81" t="s">
        <v>269</v>
      </c>
      <c r="C21" s="86">
        <v>1600.8300000000004</v>
      </c>
    </row>
    <row r="22" spans="2:3" ht="14" x14ac:dyDescent="0.3">
      <c r="B22" s="81" t="s">
        <v>270</v>
      </c>
      <c r="C22" s="86">
        <v>816.75000000000011</v>
      </c>
    </row>
  </sheetData>
  <dataValidations count="1">
    <dataValidation type="list" allowBlank="1" showInputMessage="1" showErrorMessage="1" sqref="E6" xr:uid="{B8FBC185-5941-4E1D-9598-E6EE167071E7}">
      <formula1>$B$6:$B$22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9C46-2C1F-43AC-BF05-49B7B3ACC1DA}">
  <dimension ref="A2:I23"/>
  <sheetViews>
    <sheetView zoomScale="160" zoomScaleNormal="160" workbookViewId="0"/>
  </sheetViews>
  <sheetFormatPr defaultColWidth="8.7265625" defaultRowHeight="12.5" x14ac:dyDescent="0.25"/>
  <cols>
    <col min="1" max="1" width="3.1796875" style="5" customWidth="1"/>
    <col min="2" max="2" width="18.26953125" style="5" customWidth="1"/>
    <col min="3" max="5" width="11.26953125" style="5" bestFit="1" customWidth="1"/>
    <col min="6" max="6" width="9.1796875" style="5" customWidth="1"/>
    <col min="7" max="7" width="14.81640625" style="5" customWidth="1"/>
    <col min="8" max="9" width="11.81640625" style="5" bestFit="1" customWidth="1"/>
    <col min="10" max="16384" width="8.7265625" style="5"/>
  </cols>
  <sheetData>
    <row r="2" spans="1:9" ht="17.5" x14ac:dyDescent="0.35">
      <c r="B2" s="76" t="s">
        <v>231</v>
      </c>
    </row>
    <row r="3" spans="1:9" ht="17.5" x14ac:dyDescent="0.35">
      <c r="B3" s="85" t="s">
        <v>248</v>
      </c>
    </row>
    <row r="4" spans="1:9" ht="20" x14ac:dyDescent="0.4">
      <c r="A4" s="88"/>
    </row>
    <row r="5" spans="1:9" ht="20" x14ac:dyDescent="0.4">
      <c r="F5" s="89"/>
      <c r="G5" s="77" t="s">
        <v>271</v>
      </c>
    </row>
    <row r="6" spans="1:9" ht="14" x14ac:dyDescent="0.3">
      <c r="B6" s="79" t="s">
        <v>251</v>
      </c>
      <c r="C6" s="80" t="s">
        <v>281</v>
      </c>
      <c r="D6" s="80" t="s">
        <v>282</v>
      </c>
      <c r="E6" s="80" t="s">
        <v>283</v>
      </c>
      <c r="G6" s="81" t="s">
        <v>252</v>
      </c>
      <c r="H6" s="81" t="s">
        <v>273</v>
      </c>
      <c r="I6" s="81" t="s">
        <v>272</v>
      </c>
    </row>
    <row r="7" spans="1:9" ht="14" x14ac:dyDescent="0.3">
      <c r="B7" s="81" t="s">
        <v>254</v>
      </c>
      <c r="C7" s="86">
        <v>1151.6175000000003</v>
      </c>
      <c r="D7" s="86">
        <f>C7/1.1</f>
        <v>1046.9250000000002</v>
      </c>
      <c r="E7" s="86">
        <f>D7/1.1</f>
        <v>951.75000000000011</v>
      </c>
      <c r="G7" s="86" t="s">
        <v>265</v>
      </c>
      <c r="H7" s="80" t="s">
        <v>283</v>
      </c>
      <c r="I7" s="87">
        <f>INDEX(palgad,MATCH(Inimene,inimesed,0),MATCH(Aasta,aastad,0))</f>
        <v>1161</v>
      </c>
    </row>
    <row r="8" spans="1:9" ht="14" x14ac:dyDescent="0.3">
      <c r="B8" s="81" t="s">
        <v>256</v>
      </c>
      <c r="C8" s="86">
        <v>1551.825</v>
      </c>
      <c r="D8" s="86">
        <f t="shared" ref="D8:E23" si="0">C8/1.1</f>
        <v>1410.75</v>
      </c>
      <c r="E8" s="86">
        <f t="shared" si="0"/>
        <v>1282.5</v>
      </c>
    </row>
    <row r="9" spans="1:9" ht="14" x14ac:dyDescent="0.3">
      <c r="B9" s="81" t="s">
        <v>257</v>
      </c>
      <c r="C9" s="86">
        <v>816.75000000000011</v>
      </c>
      <c r="D9" s="86">
        <f t="shared" si="0"/>
        <v>742.5</v>
      </c>
      <c r="E9" s="86">
        <f t="shared" si="0"/>
        <v>675</v>
      </c>
    </row>
    <row r="10" spans="1:9" ht="14" x14ac:dyDescent="0.3">
      <c r="B10" s="81" t="s">
        <v>258</v>
      </c>
      <c r="C10" s="86">
        <v>1470.1500000000003</v>
      </c>
      <c r="D10" s="86">
        <f t="shared" si="0"/>
        <v>1336.5000000000002</v>
      </c>
      <c r="E10" s="86">
        <f t="shared" si="0"/>
        <v>1215</v>
      </c>
    </row>
    <row r="11" spans="1:9" ht="14" x14ac:dyDescent="0.3">
      <c r="B11" s="81" t="s">
        <v>259</v>
      </c>
      <c r="C11" s="86">
        <v>1094.4450000000002</v>
      </c>
      <c r="D11" s="86">
        <f t="shared" si="0"/>
        <v>994.95</v>
      </c>
      <c r="E11" s="86">
        <f t="shared" si="0"/>
        <v>904.5</v>
      </c>
    </row>
    <row r="12" spans="1:9" ht="14" x14ac:dyDescent="0.3">
      <c r="B12" s="81" t="s">
        <v>260</v>
      </c>
      <c r="C12" s="86">
        <v>1633.5000000000002</v>
      </c>
      <c r="D12" s="86">
        <f t="shared" si="0"/>
        <v>1485</v>
      </c>
      <c r="E12" s="86">
        <f t="shared" si="0"/>
        <v>1350</v>
      </c>
    </row>
    <row r="13" spans="1:9" ht="14" x14ac:dyDescent="0.3">
      <c r="B13" s="81" t="s">
        <v>261</v>
      </c>
      <c r="C13" s="86">
        <v>1094.4450000000002</v>
      </c>
      <c r="D13" s="86">
        <f t="shared" si="0"/>
        <v>994.95</v>
      </c>
      <c r="E13" s="86">
        <f t="shared" si="0"/>
        <v>904.5</v>
      </c>
    </row>
    <row r="14" spans="1:9" ht="14" x14ac:dyDescent="0.3">
      <c r="B14" s="81" t="s">
        <v>255</v>
      </c>
      <c r="C14" s="86">
        <v>1813.1850000000004</v>
      </c>
      <c r="D14" s="86">
        <f t="shared" si="0"/>
        <v>1648.3500000000001</v>
      </c>
      <c r="E14" s="86">
        <f t="shared" si="0"/>
        <v>1498.5</v>
      </c>
    </row>
    <row r="15" spans="1:9" ht="14" x14ac:dyDescent="0.3">
      <c r="B15" s="81" t="s">
        <v>262</v>
      </c>
      <c r="C15" s="86">
        <v>1143.4500000000003</v>
      </c>
      <c r="D15" s="86">
        <f t="shared" si="0"/>
        <v>1039.5000000000002</v>
      </c>
      <c r="E15" s="86">
        <f t="shared" si="0"/>
        <v>945.00000000000011</v>
      </c>
    </row>
    <row r="16" spans="1:9" ht="14" x14ac:dyDescent="0.3">
      <c r="B16" s="81" t="s">
        <v>263</v>
      </c>
      <c r="C16" s="86">
        <v>898.42500000000007</v>
      </c>
      <c r="D16" s="86">
        <f t="shared" si="0"/>
        <v>816.75</v>
      </c>
      <c r="E16" s="86">
        <f t="shared" si="0"/>
        <v>742.49999999999989</v>
      </c>
    </row>
    <row r="17" spans="2:5" ht="14" x14ac:dyDescent="0.3">
      <c r="B17" s="81" t="s">
        <v>264</v>
      </c>
      <c r="C17" s="86">
        <v>980.1</v>
      </c>
      <c r="D17" s="86">
        <f t="shared" si="0"/>
        <v>891</v>
      </c>
      <c r="E17" s="86">
        <f t="shared" si="0"/>
        <v>809.99999999999989</v>
      </c>
    </row>
    <row r="18" spans="2:5" ht="14" x14ac:dyDescent="0.3">
      <c r="B18" s="81" t="s">
        <v>265</v>
      </c>
      <c r="C18" s="86">
        <v>1404.8100000000002</v>
      </c>
      <c r="D18" s="86">
        <f t="shared" si="0"/>
        <v>1277.1000000000001</v>
      </c>
      <c r="E18" s="86">
        <f t="shared" si="0"/>
        <v>1161</v>
      </c>
    </row>
    <row r="19" spans="2:5" ht="14" x14ac:dyDescent="0.3">
      <c r="B19" s="81" t="s">
        <v>266</v>
      </c>
      <c r="C19" s="86">
        <v>1306.8000000000004</v>
      </c>
      <c r="D19" s="86">
        <f t="shared" si="0"/>
        <v>1188.0000000000002</v>
      </c>
      <c r="E19" s="86">
        <f t="shared" si="0"/>
        <v>1080.0000000000002</v>
      </c>
    </row>
    <row r="20" spans="2:5" ht="14" x14ac:dyDescent="0.3">
      <c r="B20" s="81" t="s">
        <v>267</v>
      </c>
      <c r="C20" s="86">
        <v>931.09500000000014</v>
      </c>
      <c r="D20" s="86">
        <f t="shared" si="0"/>
        <v>846.45</v>
      </c>
      <c r="E20" s="86">
        <f t="shared" si="0"/>
        <v>769.5</v>
      </c>
    </row>
    <row r="21" spans="2:5" ht="14" x14ac:dyDescent="0.3">
      <c r="B21" s="81" t="s">
        <v>268</v>
      </c>
      <c r="C21" s="86">
        <v>1110.7800000000002</v>
      </c>
      <c r="D21" s="86">
        <f t="shared" si="0"/>
        <v>1009.8000000000001</v>
      </c>
      <c r="E21" s="86">
        <f t="shared" si="0"/>
        <v>918</v>
      </c>
    </row>
    <row r="22" spans="2:5" ht="14" x14ac:dyDescent="0.3">
      <c r="B22" s="81" t="s">
        <v>269</v>
      </c>
      <c r="C22" s="86">
        <v>1600.8300000000004</v>
      </c>
      <c r="D22" s="86">
        <f t="shared" si="0"/>
        <v>1455.3000000000002</v>
      </c>
      <c r="E22" s="86">
        <f t="shared" si="0"/>
        <v>1323</v>
      </c>
    </row>
    <row r="23" spans="2:5" ht="14" x14ac:dyDescent="0.3">
      <c r="B23" s="81" t="s">
        <v>270</v>
      </c>
      <c r="C23" s="86">
        <v>816.75000000000011</v>
      </c>
      <c r="D23" s="86">
        <f t="shared" si="0"/>
        <v>742.5</v>
      </c>
      <c r="E23" s="86">
        <f t="shared" si="0"/>
        <v>675</v>
      </c>
    </row>
  </sheetData>
  <dataValidations count="2">
    <dataValidation type="list" allowBlank="1" showInputMessage="1" showErrorMessage="1" sqref="H7" xr:uid="{9F8B8A86-EDDA-46C5-A71D-1C305FA9091B}">
      <formula1>aastad</formula1>
    </dataValidation>
    <dataValidation type="list" allowBlank="1" showInputMessage="1" showErrorMessage="1" sqref="G7" xr:uid="{4793CB9E-FABB-48BB-B185-6AC41431B11A}">
      <formula1>$B$7:$B$23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5E4E-A278-4166-868A-D989D1913C0E}">
  <dimension ref="B2:F22"/>
  <sheetViews>
    <sheetView zoomScale="160" zoomScaleNormal="160" workbookViewId="0"/>
  </sheetViews>
  <sheetFormatPr defaultColWidth="8.7265625" defaultRowHeight="12.5" x14ac:dyDescent="0.25"/>
  <cols>
    <col min="1" max="1" width="3.26953125" style="5" customWidth="1"/>
    <col min="2" max="2" width="18.26953125" style="5" customWidth="1"/>
    <col min="3" max="3" width="10" style="5" bestFit="1" customWidth="1"/>
    <col min="4" max="4" width="8.7265625" style="5"/>
    <col min="5" max="5" width="15.26953125" style="5" customWidth="1"/>
    <col min="6" max="6" width="14.453125" style="5" bestFit="1" customWidth="1"/>
    <col min="7" max="7" width="11.81640625" style="5" bestFit="1" customWidth="1"/>
    <col min="8" max="16384" width="8.7265625" style="5"/>
  </cols>
  <sheetData>
    <row r="2" spans="2:6" ht="17.5" x14ac:dyDescent="0.25">
      <c r="B2" s="90" t="s">
        <v>280</v>
      </c>
    </row>
    <row r="4" spans="2:6" ht="20" x14ac:dyDescent="0.4">
      <c r="E4" s="77" t="s">
        <v>274</v>
      </c>
      <c r="F4" s="78"/>
    </row>
    <row r="5" spans="2:6" ht="14" x14ac:dyDescent="0.3">
      <c r="B5" s="79" t="s">
        <v>251</v>
      </c>
      <c r="C5" s="80" t="s">
        <v>41</v>
      </c>
      <c r="E5" s="81" t="s">
        <v>252</v>
      </c>
      <c r="F5" s="81" t="s">
        <v>272</v>
      </c>
    </row>
    <row r="6" spans="2:6" ht="14" x14ac:dyDescent="0.3">
      <c r="B6" s="81" t="s">
        <v>254</v>
      </c>
      <c r="C6" s="86">
        <v>1151.6175000000003</v>
      </c>
      <c r="E6" s="86" t="s">
        <v>256</v>
      </c>
      <c r="F6" s="87">
        <f>VLOOKUP(Inimene,tabel,2,0)</f>
        <v>1551.825</v>
      </c>
    </row>
    <row r="7" spans="2:6" ht="14" x14ac:dyDescent="0.3">
      <c r="B7" s="81" t="s">
        <v>256</v>
      </c>
      <c r="C7" s="86">
        <v>1551.825</v>
      </c>
    </row>
    <row r="8" spans="2:6" ht="14" x14ac:dyDescent="0.3">
      <c r="B8" s="81" t="s">
        <v>257</v>
      </c>
      <c r="C8" s="86">
        <v>816.75000000000011</v>
      </c>
    </row>
    <row r="9" spans="2:6" ht="14" x14ac:dyDescent="0.3">
      <c r="B9" s="81" t="s">
        <v>258</v>
      </c>
      <c r="C9" s="86">
        <v>1470.1500000000003</v>
      </c>
    </row>
    <row r="10" spans="2:6" ht="14" x14ac:dyDescent="0.3">
      <c r="B10" s="81" t="s">
        <v>259</v>
      </c>
      <c r="C10" s="86">
        <v>1094.4450000000002</v>
      </c>
    </row>
    <row r="11" spans="2:6" ht="14" x14ac:dyDescent="0.3">
      <c r="B11" s="81" t="s">
        <v>260</v>
      </c>
      <c r="C11" s="86">
        <v>1633.5000000000002</v>
      </c>
    </row>
    <row r="12" spans="2:6" ht="14" x14ac:dyDescent="0.3">
      <c r="B12" s="81" t="s">
        <v>261</v>
      </c>
      <c r="C12" s="86">
        <v>1094.4450000000002</v>
      </c>
    </row>
    <row r="13" spans="2:6" ht="14" x14ac:dyDescent="0.3">
      <c r="B13" s="81" t="s">
        <v>255</v>
      </c>
      <c r="C13" s="86">
        <v>1813.1850000000004</v>
      </c>
    </row>
    <row r="14" spans="2:6" ht="14" x14ac:dyDescent="0.3">
      <c r="B14" s="81" t="s">
        <v>262</v>
      </c>
      <c r="C14" s="86">
        <v>1143.4500000000003</v>
      </c>
    </row>
    <row r="15" spans="2:6" ht="14" x14ac:dyDescent="0.3">
      <c r="B15" s="81" t="s">
        <v>263</v>
      </c>
      <c r="C15" s="86">
        <v>898.42500000000007</v>
      </c>
    </row>
    <row r="16" spans="2:6" ht="14" x14ac:dyDescent="0.3">
      <c r="B16" s="81" t="s">
        <v>264</v>
      </c>
      <c r="C16" s="86">
        <v>980.1</v>
      </c>
    </row>
    <row r="17" spans="2:3" ht="14" x14ac:dyDescent="0.3">
      <c r="B17" s="81" t="s">
        <v>265</v>
      </c>
      <c r="C17" s="86">
        <v>1404.8100000000002</v>
      </c>
    </row>
    <row r="18" spans="2:3" ht="14" x14ac:dyDescent="0.3">
      <c r="B18" s="81" t="s">
        <v>266</v>
      </c>
      <c r="C18" s="86">
        <v>1306.8000000000004</v>
      </c>
    </row>
    <row r="19" spans="2:3" ht="14" x14ac:dyDescent="0.3">
      <c r="B19" s="81" t="s">
        <v>267</v>
      </c>
      <c r="C19" s="86">
        <v>931.09500000000014</v>
      </c>
    </row>
    <row r="20" spans="2:3" ht="14" x14ac:dyDescent="0.3">
      <c r="B20" s="81" t="s">
        <v>268</v>
      </c>
      <c r="C20" s="86">
        <v>1110.7800000000002</v>
      </c>
    </row>
    <row r="21" spans="2:3" ht="14" x14ac:dyDescent="0.3">
      <c r="B21" s="81" t="s">
        <v>269</v>
      </c>
      <c r="C21" s="86">
        <v>1600.8300000000004</v>
      </c>
    </row>
    <row r="22" spans="2:3" ht="14" x14ac:dyDescent="0.3">
      <c r="B22" s="81" t="s">
        <v>270</v>
      </c>
      <c r="C22" s="86">
        <v>816.75000000000011</v>
      </c>
    </row>
  </sheetData>
  <dataValidations count="1">
    <dataValidation type="list" allowBlank="1" showInputMessage="1" showErrorMessage="1" sqref="E6" xr:uid="{54720EF4-6F8B-4577-B38F-0FF876639B7B}">
      <formula1>$B$6:$B$22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26BE-36F2-4128-92B8-22EB30B4BDBF}">
  <dimension ref="B2:F22"/>
  <sheetViews>
    <sheetView zoomScale="140" zoomScaleNormal="140" workbookViewId="0"/>
  </sheetViews>
  <sheetFormatPr defaultColWidth="8.7265625" defaultRowHeight="12.5" x14ac:dyDescent="0.25"/>
  <cols>
    <col min="1" max="1" width="3.26953125" style="5" customWidth="1"/>
    <col min="2" max="2" width="18.26953125" style="5" customWidth="1"/>
    <col min="3" max="3" width="10" style="5" bestFit="1" customWidth="1"/>
    <col min="4" max="4" width="8.7265625" style="5"/>
    <col min="5" max="5" width="15.26953125" style="5" customWidth="1"/>
    <col min="6" max="6" width="14.453125" style="5" bestFit="1" customWidth="1"/>
    <col min="7" max="7" width="11.81640625" style="5" bestFit="1" customWidth="1"/>
    <col min="8" max="16384" width="8.7265625" style="5"/>
  </cols>
  <sheetData>
    <row r="2" spans="2:6" ht="17.5" x14ac:dyDescent="0.25">
      <c r="B2" s="90" t="s">
        <v>279</v>
      </c>
    </row>
    <row r="4" spans="2:6" ht="20" x14ac:dyDescent="0.4">
      <c r="E4" s="77" t="s">
        <v>327</v>
      </c>
      <c r="F4" s="78"/>
    </row>
    <row r="5" spans="2:6" ht="14" x14ac:dyDescent="0.3">
      <c r="B5" s="79" t="s">
        <v>251</v>
      </c>
      <c r="C5" s="80" t="s">
        <v>41</v>
      </c>
      <c r="E5" s="81" t="s">
        <v>252</v>
      </c>
      <c r="F5" s="81" t="s">
        <v>272</v>
      </c>
    </row>
    <row r="6" spans="2:6" ht="14" x14ac:dyDescent="0.3">
      <c r="B6" s="81" t="s">
        <v>254</v>
      </c>
      <c r="C6" s="86">
        <v>1151.6175000000003</v>
      </c>
      <c r="E6" s="86" t="s">
        <v>264</v>
      </c>
      <c r="F6" s="87">
        <f>_xlfn.XLOOKUP(Inimene,Ees__ja_peremini,Palk)</f>
        <v>980.1</v>
      </c>
    </row>
    <row r="7" spans="2:6" ht="14" x14ac:dyDescent="0.3">
      <c r="B7" s="81" t="s">
        <v>256</v>
      </c>
      <c r="C7" s="86">
        <v>1551.825</v>
      </c>
    </row>
    <row r="8" spans="2:6" ht="14" x14ac:dyDescent="0.3">
      <c r="B8" s="81" t="s">
        <v>257</v>
      </c>
      <c r="C8" s="86">
        <v>816.75000000000011</v>
      </c>
    </row>
    <row r="9" spans="2:6" ht="14" x14ac:dyDescent="0.3">
      <c r="B9" s="81" t="s">
        <v>258</v>
      </c>
      <c r="C9" s="86">
        <v>1470.1500000000003</v>
      </c>
    </row>
    <row r="10" spans="2:6" ht="14" x14ac:dyDescent="0.3">
      <c r="B10" s="81" t="s">
        <v>259</v>
      </c>
      <c r="C10" s="86">
        <v>1094.4450000000002</v>
      </c>
    </row>
    <row r="11" spans="2:6" ht="14" x14ac:dyDescent="0.3">
      <c r="B11" s="81" t="s">
        <v>260</v>
      </c>
      <c r="C11" s="86">
        <v>1633.5000000000002</v>
      </c>
    </row>
    <row r="12" spans="2:6" ht="14" x14ac:dyDescent="0.3">
      <c r="B12" s="81" t="s">
        <v>261</v>
      </c>
      <c r="C12" s="86">
        <v>1094.4450000000002</v>
      </c>
    </row>
    <row r="13" spans="2:6" ht="14" x14ac:dyDescent="0.3">
      <c r="B13" s="81" t="s">
        <v>255</v>
      </c>
      <c r="C13" s="86">
        <v>1813.1850000000004</v>
      </c>
    </row>
    <row r="14" spans="2:6" ht="14" x14ac:dyDescent="0.3">
      <c r="B14" s="81" t="s">
        <v>262</v>
      </c>
      <c r="C14" s="86">
        <v>1143.4500000000003</v>
      </c>
    </row>
    <row r="15" spans="2:6" ht="14" x14ac:dyDescent="0.3">
      <c r="B15" s="81" t="s">
        <v>263</v>
      </c>
      <c r="C15" s="86">
        <v>898.42500000000007</v>
      </c>
    </row>
    <row r="16" spans="2:6" ht="14" x14ac:dyDescent="0.3">
      <c r="B16" s="81" t="s">
        <v>264</v>
      </c>
      <c r="C16" s="86">
        <v>980.1</v>
      </c>
    </row>
    <row r="17" spans="2:3" ht="14" x14ac:dyDescent="0.3">
      <c r="B17" s="81" t="s">
        <v>265</v>
      </c>
      <c r="C17" s="86">
        <v>1404.8100000000002</v>
      </c>
    </row>
    <row r="18" spans="2:3" ht="14" x14ac:dyDescent="0.3">
      <c r="B18" s="81" t="s">
        <v>266</v>
      </c>
      <c r="C18" s="86">
        <v>1306.8000000000004</v>
      </c>
    </row>
    <row r="19" spans="2:3" ht="14" x14ac:dyDescent="0.3">
      <c r="B19" s="81" t="s">
        <v>267</v>
      </c>
      <c r="C19" s="86">
        <v>931.09500000000014</v>
      </c>
    </row>
    <row r="20" spans="2:3" ht="14" x14ac:dyDescent="0.3">
      <c r="B20" s="81" t="s">
        <v>268</v>
      </c>
      <c r="C20" s="86">
        <v>1110.7800000000002</v>
      </c>
    </row>
    <row r="21" spans="2:3" ht="14" x14ac:dyDescent="0.3">
      <c r="B21" s="81" t="s">
        <v>269</v>
      </c>
      <c r="C21" s="86">
        <v>1600.8300000000004</v>
      </c>
    </row>
    <row r="22" spans="2:3" ht="14" x14ac:dyDescent="0.3">
      <c r="B22" s="81" t="s">
        <v>270</v>
      </c>
      <c r="C22" s="86">
        <v>816.75000000000011</v>
      </c>
    </row>
  </sheetData>
  <dataValidations count="1">
    <dataValidation type="list" allowBlank="1" showInputMessage="1" showErrorMessage="1" sqref="E6" xr:uid="{EAC4237B-C8C2-4550-84D7-173D280B161A}">
      <formula1>$B$6:$B$22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73BE-F766-4A0F-B882-22FCD98B6663}">
  <dimension ref="B2:H22"/>
  <sheetViews>
    <sheetView zoomScale="150" zoomScaleNormal="150" workbookViewId="0"/>
  </sheetViews>
  <sheetFormatPr defaultColWidth="8.7265625" defaultRowHeight="12.5" x14ac:dyDescent="0.25"/>
  <cols>
    <col min="1" max="1" width="3.453125" style="5" customWidth="1"/>
    <col min="2" max="2" width="18.26953125" style="5" customWidth="1"/>
    <col min="3" max="3" width="10" style="5" bestFit="1" customWidth="1"/>
    <col min="4" max="4" width="8.7265625" style="5"/>
    <col min="5" max="5" width="15.54296875" style="5" customWidth="1"/>
    <col min="6" max="6" width="14.453125" style="5" bestFit="1" customWidth="1"/>
    <col min="7" max="7" width="11.81640625" style="5" bestFit="1" customWidth="1"/>
    <col min="8" max="16384" width="8.7265625" style="5"/>
  </cols>
  <sheetData>
    <row r="2" spans="2:8" ht="18" x14ac:dyDescent="0.4">
      <c r="B2" s="91" t="s">
        <v>275</v>
      </c>
      <c r="H2" s="93" t="s">
        <v>284</v>
      </c>
    </row>
    <row r="4" spans="2:8" ht="20" x14ac:dyDescent="0.4">
      <c r="E4" s="77" t="s">
        <v>276</v>
      </c>
      <c r="F4" s="78"/>
    </row>
    <row r="5" spans="2:8" ht="14" x14ac:dyDescent="0.3">
      <c r="B5" s="79" t="s">
        <v>251</v>
      </c>
      <c r="C5" s="80" t="s">
        <v>41</v>
      </c>
      <c r="E5" s="81" t="s">
        <v>252</v>
      </c>
      <c r="F5" s="81" t="s">
        <v>272</v>
      </c>
    </row>
    <row r="6" spans="2:8" ht="14" x14ac:dyDescent="0.3">
      <c r="B6" s="81" t="s">
        <v>259</v>
      </c>
      <c r="C6" s="86">
        <v>1094.4450000000002</v>
      </c>
      <c r="E6" s="86" t="s">
        <v>264</v>
      </c>
      <c r="F6" s="87">
        <f>LOOKUP(Inimene,Ees__ja_peremini,Palk)</f>
        <v>980.1</v>
      </c>
    </row>
    <row r="7" spans="2:8" ht="14" x14ac:dyDescent="0.3">
      <c r="B7" s="81" t="s">
        <v>260</v>
      </c>
      <c r="C7" s="86">
        <v>1633.5000000000002</v>
      </c>
    </row>
    <row r="8" spans="2:8" ht="14" x14ac:dyDescent="0.3">
      <c r="B8" s="81" t="s">
        <v>254</v>
      </c>
      <c r="C8" s="86">
        <v>1151.6175000000003</v>
      </c>
    </row>
    <row r="9" spans="2:8" ht="14" x14ac:dyDescent="0.3">
      <c r="B9" s="81" t="s">
        <v>264</v>
      </c>
      <c r="C9" s="86">
        <v>980.1</v>
      </c>
    </row>
    <row r="10" spans="2:8" ht="14" x14ac:dyDescent="0.3">
      <c r="B10" s="81" t="s">
        <v>269</v>
      </c>
      <c r="C10" s="86">
        <v>1600.8300000000004</v>
      </c>
    </row>
    <row r="11" spans="2:8" ht="14" x14ac:dyDescent="0.3">
      <c r="B11" s="81" t="s">
        <v>268</v>
      </c>
      <c r="C11" s="86">
        <v>1110.7800000000002</v>
      </c>
    </row>
    <row r="12" spans="2:8" ht="14" x14ac:dyDescent="0.3">
      <c r="B12" s="81" t="s">
        <v>256</v>
      </c>
      <c r="C12" s="86">
        <v>1551.825</v>
      </c>
    </row>
    <row r="13" spans="2:8" ht="14" x14ac:dyDescent="0.3">
      <c r="B13" s="81" t="s">
        <v>262</v>
      </c>
      <c r="C13" s="86">
        <v>1143.4500000000003</v>
      </c>
    </row>
    <row r="14" spans="2:8" ht="14" x14ac:dyDescent="0.3">
      <c r="B14" s="81" t="s">
        <v>258</v>
      </c>
      <c r="C14" s="86">
        <v>1470.1500000000003</v>
      </c>
    </row>
    <row r="15" spans="2:8" ht="14" x14ac:dyDescent="0.3">
      <c r="B15" s="81" t="s">
        <v>266</v>
      </c>
      <c r="C15" s="86">
        <v>1306.8000000000004</v>
      </c>
    </row>
    <row r="16" spans="2:8" ht="14" x14ac:dyDescent="0.3">
      <c r="B16" s="81" t="s">
        <v>270</v>
      </c>
      <c r="C16" s="86">
        <v>816.75000000000011</v>
      </c>
    </row>
    <row r="17" spans="2:3" ht="14" x14ac:dyDescent="0.3">
      <c r="B17" s="81" t="s">
        <v>261</v>
      </c>
      <c r="C17" s="86">
        <v>1094.4450000000002</v>
      </c>
    </row>
    <row r="18" spans="2:3" ht="14" x14ac:dyDescent="0.3">
      <c r="B18" s="81" t="s">
        <v>255</v>
      </c>
      <c r="C18" s="86">
        <v>1813.1850000000004</v>
      </c>
    </row>
    <row r="19" spans="2:3" ht="14" x14ac:dyDescent="0.3">
      <c r="B19" s="81" t="s">
        <v>257</v>
      </c>
      <c r="C19" s="86">
        <v>816.75000000000011</v>
      </c>
    </row>
    <row r="20" spans="2:3" ht="14" x14ac:dyDescent="0.3">
      <c r="B20" s="81" t="s">
        <v>267</v>
      </c>
      <c r="C20" s="86">
        <v>931.09500000000014</v>
      </c>
    </row>
    <row r="21" spans="2:3" ht="14" x14ac:dyDescent="0.3">
      <c r="B21" s="81" t="s">
        <v>263</v>
      </c>
      <c r="C21" s="86">
        <v>898.42500000000007</v>
      </c>
    </row>
    <row r="22" spans="2:3" ht="14" x14ac:dyDescent="0.3">
      <c r="B22" s="81" t="s">
        <v>265</v>
      </c>
      <c r="C22" s="86">
        <v>1404.8100000000002</v>
      </c>
    </row>
  </sheetData>
  <sortState xmlns:xlrd2="http://schemas.microsoft.com/office/spreadsheetml/2017/richdata2" ref="B6:C22">
    <sortCondition ref="B9:B22"/>
  </sortState>
  <dataValidations count="1">
    <dataValidation type="list" allowBlank="1" showInputMessage="1" showErrorMessage="1" sqref="E6" xr:uid="{FEBB3340-EDD8-4C72-A8BF-B889750DB1A6}">
      <formula1>$B$6:$B$22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79</vt:i4>
      </vt:variant>
    </vt:vector>
  </HeadingPairs>
  <TitlesOfParts>
    <vt:vector size="96" baseType="lpstr">
      <vt:lpstr>Tiitel</vt:lpstr>
      <vt:lpstr>Valideerimine</vt:lpstr>
      <vt:lpstr>Töötajad</vt:lpstr>
      <vt:lpstr>Hinded</vt:lpstr>
      <vt:lpstr>Statistika</vt:lpstr>
      <vt:lpstr>Andmebaas</vt:lpstr>
      <vt:lpstr>Vahemik</vt:lpstr>
      <vt:lpstr>Palgid</vt:lpstr>
      <vt:lpstr>Abi</vt:lpstr>
      <vt:lpstr>Otsifunktsioonid</vt:lpstr>
      <vt:lpstr>IND</vt:lpstr>
      <vt:lpstr>MAT</vt:lpstr>
      <vt:lpstr>IND_MAT_Vekt</vt:lpstr>
      <vt:lpstr>IND_MAT_TAB</vt:lpstr>
      <vt:lpstr>VLOOK</vt:lpstr>
      <vt:lpstr>XLOOK</vt:lpstr>
      <vt:lpstr>LOOK</vt:lpstr>
      <vt:lpstr>A_kood</vt:lpstr>
      <vt:lpstr>Aasta</vt:lpstr>
      <vt:lpstr>aastad</vt:lpstr>
      <vt:lpstr>Aine</vt:lpstr>
      <vt:lpstr>Aine_nimetus</vt:lpstr>
      <vt:lpstr>Amet</vt:lpstr>
      <vt:lpstr>Amet_baas</vt:lpstr>
      <vt:lpstr>andmebaas</vt:lpstr>
      <vt:lpstr>andmed</vt:lpstr>
      <vt:lpstr>d</vt:lpstr>
      <vt:lpstr>IND_MAT_Vekt!Ees__ja_peremini</vt:lpstr>
      <vt:lpstr>LOOK!Ees__ja_peremini</vt:lpstr>
      <vt:lpstr>VLOOK!Ees__ja_peremini</vt:lpstr>
      <vt:lpstr>XLOOK!Ees__ja_peremini</vt:lpstr>
      <vt:lpstr>Ees__ja_peremini</vt:lpstr>
      <vt:lpstr>Statistika!Extract</vt:lpstr>
      <vt:lpstr>Hind</vt:lpstr>
      <vt:lpstr>hinnad</vt:lpstr>
      <vt:lpstr>Hinne</vt:lpstr>
      <vt:lpstr>Hinne_I</vt:lpstr>
      <vt:lpstr>Hinne_II</vt:lpstr>
      <vt:lpstr>IND_MAT_TAB!Inimene</vt:lpstr>
      <vt:lpstr>IND_MAT_Vekt!Inimene</vt:lpstr>
      <vt:lpstr>LOOK!Inimene</vt:lpstr>
      <vt:lpstr>VLOOK!Inimene</vt:lpstr>
      <vt:lpstr>XLOOK!Inimene</vt:lpstr>
      <vt:lpstr>Inimene</vt:lpstr>
      <vt:lpstr>inimesed</vt:lpstr>
      <vt:lpstr>Jrk_nr</vt:lpstr>
      <vt:lpstr>Keskmine_hinne</vt:lpstr>
      <vt:lpstr>Kogus</vt:lpstr>
      <vt:lpstr>Koondhinne</vt:lpstr>
      <vt:lpstr>KT1_</vt:lpstr>
      <vt:lpstr>KT2_</vt:lpstr>
      <vt:lpstr>KT3_</vt:lpstr>
      <vt:lpstr>KT4_</vt:lpstr>
      <vt:lpstr>KT5_</vt:lpstr>
      <vt:lpstr>Kuu_nimetus</vt:lpstr>
      <vt:lpstr>Kuu_nr</vt:lpstr>
      <vt:lpstr>kvartiil</vt:lpstr>
      <vt:lpstr>Palgid!Liik</vt:lpstr>
      <vt:lpstr>Linn</vt:lpstr>
      <vt:lpstr>Läbimõõdud</vt:lpstr>
      <vt:lpstr>Läbimõõt</vt:lpstr>
      <vt:lpstr>Läbimüük</vt:lpstr>
      <vt:lpstr>Mitu_hinnet</vt:lpstr>
      <vt:lpstr>mõõdud</vt:lpstr>
      <vt:lpstr>Nimetus</vt:lpstr>
      <vt:lpstr>Andmebaas!Nimi</vt:lpstr>
      <vt:lpstr>Hinded!Nimi</vt:lpstr>
      <vt:lpstr>Vahemik!Nimi</vt:lpstr>
      <vt:lpstr>Nimi</vt:lpstr>
      <vt:lpstr>XLOOK!Otsitav_palk</vt:lpstr>
      <vt:lpstr>Otsitav_palk</vt:lpstr>
      <vt:lpstr>palgad</vt:lpstr>
      <vt:lpstr>LOOK!Palk</vt:lpstr>
      <vt:lpstr>Töötajad!Palk</vt:lpstr>
      <vt:lpstr>VLOOK!Palk</vt:lpstr>
      <vt:lpstr>XLOOK!Palk</vt:lpstr>
      <vt:lpstr>Palk</vt:lpstr>
      <vt:lpstr>palk_analyys</vt:lpstr>
      <vt:lpstr>Prots</vt:lpstr>
      <vt:lpstr>Protsent</vt:lpstr>
      <vt:lpstr>Punktid_I</vt:lpstr>
      <vt:lpstr>Punktid_II</vt:lpstr>
      <vt:lpstr>puud</vt:lpstr>
      <vt:lpstr>puuhinnad</vt:lpstr>
      <vt:lpstr>Sugu</vt:lpstr>
      <vt:lpstr>Palgid!Summa</vt:lpstr>
      <vt:lpstr>Summa</vt:lpstr>
      <vt:lpstr>Sünniaeg</vt:lpstr>
      <vt:lpstr>Sünniaeg_noor</vt:lpstr>
      <vt:lpstr>Sünniaeg_vana</vt:lpstr>
      <vt:lpstr>süsteem</vt:lpstr>
      <vt:lpstr>tabel</vt:lpstr>
      <vt:lpstr>Valuutad</vt:lpstr>
      <vt:lpstr>Õ_kood</vt:lpstr>
      <vt:lpstr>Õppur</vt:lpstr>
      <vt:lpstr>Õppuri_nimi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2024-07-31T17:54:30Z</dcterms:created>
  <dcterms:modified xsi:type="dcterms:W3CDTF">2026-09-17T10:35:49Z</dcterms:modified>
</cp:coreProperties>
</file>